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7pn\Downloads\"/>
    </mc:Choice>
  </mc:AlternateContent>
  <xr:revisionPtr revIDLastSave="0" documentId="13_ncr:1_{DA2F7CEA-CFC2-43AE-856E-984BECC2B797}" xr6:coauthVersionLast="47" xr6:coauthVersionMax="47" xr10:uidLastSave="{00000000-0000-0000-0000-000000000000}"/>
  <bookViews>
    <workbookView xWindow="-108" yWindow="-108" windowWidth="23256" windowHeight="13896" xr2:uid="{B3B8A38D-7C2C-4653-9925-74C596138153}"/>
  </bookViews>
  <sheets>
    <sheet name="Disclaimer" sheetId="13" r:id="rId1"/>
    <sheet name="Concept" sheetId="21" r:id="rId2"/>
    <sheet name="Instructions" sheetId="4" r:id="rId3"/>
    <sheet name="Company_Information" sheetId="11" r:id="rId4"/>
    <sheet name="Milestone_1" sheetId="1" r:id="rId5"/>
    <sheet name="Milestone_2" sheetId="3" r:id="rId6"/>
    <sheet name="Milestone_3" sheetId="5" r:id="rId7"/>
    <sheet name="Milestone_4" sheetId="6" r:id="rId8"/>
    <sheet name="Export_Result" sheetId="20" state="hidden" r:id="rId9"/>
    <sheet name="Milestone_5" sheetId="7" r:id="rId10"/>
    <sheet name="Ongoing_Implementation" sheetId="14" r:id="rId11"/>
    <sheet name="Results" sheetId="9" r:id="rId12"/>
    <sheet name="TechnologyPhasingCurve" sheetId="16" state="hidden" r:id="rId13"/>
    <sheet name="Resources" sheetId="19" r:id="rId14"/>
    <sheet name="Feedback_List" sheetId="15" state="hidden" r:id="rId15"/>
    <sheet name="DropdownORNamemanagerLists" sheetId="2" state="hidden" r:id="rId16"/>
    <sheet name="MilestoneGraphs_Calc" sheetId="18" state="hidden" r:id="rId17"/>
    <sheet name="Milestone_Results_Summary" sheetId="17" state="hidden" r:id="rId18"/>
  </sheets>
  <externalReferences>
    <externalReference r:id="rId19"/>
  </externalReferences>
  <definedNames>
    <definedName name="_xlnm._FilterDatabase" localSheetId="14" hidden="1">Feedback_List!$A$1:$E$89</definedName>
    <definedName name="Baseline" localSheetId="1">OFFSET([1]TechnologyPhasingCurve!$C$20, 0, 0, 1, COUNT([1]TechnologyPhasingCurve!$C$19:$AQ$19))</definedName>
    <definedName name="Baseline">OFFSET(TechnologyPhasingCurve!$C$20, 0, 0, 1, COUNT(TechnologyPhasingCurve!$C$19:$AQ$19))</definedName>
    <definedName name="CCUS" localSheetId="1" xml:space="preserve"> OFFSET([1]TechnologyPhasingCurve!$C$28, 0, 0, 1, COUNT([1]TechnologyPhasingCurve!$C$19:$AQ$19))</definedName>
    <definedName name="CCUS" xml:space="preserve"> OFFSET(TechnologyPhasingCurve!$C$28, 0, 0, 1, COUNT(TechnologyPhasingCurve!$C$19:$AQ$19))</definedName>
    <definedName name="ChartXAxis" localSheetId="1">OFFSET([1]TechnologyPhasingCurve!$C$19, 0, 0, 1, COUNT([1]TechnologyPhasingCurve!$C$19:$AQ$19))</definedName>
    <definedName name="ChartXAxis">OFFSET(TechnologyPhasingCurve!$C$19, 0, 0, 1, COUNT(TechnologyPhasingCurve!$C$19:$AQ$19))</definedName>
    <definedName name="Electrification_Tech" localSheetId="1" xml:space="preserve"> OFFSET([1]TechnologyPhasingCurve!$C$22, 0, 0, 1, COUNT([1]TechnologyPhasingCurve!$C$19:$AQ$19))</definedName>
    <definedName name="Electrification_Tech" xml:space="preserve"> OFFSET(TechnologyPhasingCurve!$C$22, 0, 0, 1, COUNT(TechnologyPhasingCurve!$C$19:$AQ$19))</definedName>
    <definedName name="EmissionGoal" localSheetId="12">OFFSET(TechnologyPhasingCurve!$C$3, 0, 0, 1, COUNT(TechnologyPhasingCurve!XEX1048559:AH1048559))</definedName>
    <definedName name="End_Use" localSheetId="1">[1]DropdownORNamemanagerLists!$B$20:$B$58</definedName>
    <definedName name="End_Use">DropdownORNamemanagerLists!$B$20:$B$58</definedName>
    <definedName name="End_Year">DropdownORNamemanagerLists!$C$61:$C$99</definedName>
    <definedName name="Energy_Efficiency" localSheetId="1" xml:space="preserve"> OFFSET([1]TechnologyPhasingCurve!$C$21, 0, 0, 1, COUNT([1]TechnologyPhasingCurve!$C$19:$AQ$19))</definedName>
    <definedName name="Energy_Efficiency" xml:space="preserve"> OFFSET(TechnologyPhasingCurve!$C$21, 0, 0, 1, COUNT(TechnologyPhasingCurve!$C$19:$AQ$19))</definedName>
    <definedName name="FilteredEndYear">DropdownORNamemanagerLists!$E$61</definedName>
    <definedName name="FilteredStartYear">DropdownORNamemanagerLists!$D$61</definedName>
    <definedName name="Fugitive_Emissions" localSheetId="1" xml:space="preserve"> OFFSET([1]TechnologyPhasingCurve!$C$26, 0, 0, 1, COUNT([1]TechnologyPhasingCurve!$C$19:$AQ$19))</definedName>
    <definedName name="Fugitive_Emissions" xml:space="preserve"> OFFSET(TechnologyPhasingCurve!$C$26, 0, 0, 1, COUNT(TechnologyPhasingCurve!$C$19:$AQ$19))</definedName>
    <definedName name="Grid_Resiliency" localSheetId="1" xml:space="preserve"> OFFSET([1]TechnologyPhasingCurve!$C$27, 0, 0, 1, COUNT([1]TechnologyPhasingCurve!$C$19:$AQ$19))</definedName>
    <definedName name="Grid_Resiliency" xml:space="preserve"> OFFSET(TechnologyPhasingCurve!$C$27, 0, 0, 1, COUNT(TechnologyPhasingCurve!$C$19:$AQ$19))</definedName>
    <definedName name="Hyperlink_GHG_Protocol">Feedback_List!$D$6</definedName>
    <definedName name="Internal_stakeholders" localSheetId="1">[1]DropdownORNamemanagerLists!$B$3:$B$10</definedName>
    <definedName name="Internal_stakeholders">DropdownORNamemanagerLists!$B$3:$B$10</definedName>
    <definedName name="Low_Carbon_Fuels" localSheetId="1" xml:space="preserve"> OFFSET([1]TechnologyPhasingCurve!$C$25, 0, 0, 1, COUNT([1]TechnologyPhasingCurve!$C$19:$AQ$19))</definedName>
    <definedName name="Low_Carbon_Fuels" xml:space="preserve"> OFFSET(TechnologyPhasingCurve!$C$25, 0, 0, 1, COUNT(TechnologyPhasingCurve!$C$19:$AQ$19))</definedName>
    <definedName name="ModifiedEndYearList" localSheetId="1">OFFSET([1]DropdownORNamemanagerLists!$C$62, MATCH([1]Milestone_1!$AM$97+1, [1]DropdownORNamemanagerLists!$C$62:$C$99, 0)-1, 0, MATCH([1]Milestone_1!$AO$97, [1]DropdownORNamemanagerLists!$C$62:$C$99, 1)-MATCH([1]Milestone_1!$AM$97+1, [1]DropdownORNamemanagerLists!$C$62:$C$99, 0)+1, 1)</definedName>
    <definedName name="ModifiedEndYearList">OFFSET(DropdownORNamemanagerLists!$C$62, MATCH(Milestone_1!$AM$97+1, DropdownORNamemanagerLists!$C$62:$C$99, 0)-1, 0, MATCH(Milestone_1!$AO$97, DropdownORNamemanagerLists!$C$62:$C$99, 1)-MATCH(Milestone_1!$AM$97+1, DropdownORNamemanagerLists!$C$62:$C$99, 0)+1, 1)</definedName>
    <definedName name="ModifiedStartYearList" localSheetId="1">OFFSET([1]DropdownORNamemanagerLists!$B$62, MATCH([1]Milestone_1!$AM$97, [1]DropdownORNamemanagerLists!$B$62:$B$99, 0)-1, 0, MATCH([1]Milestone_1!$AO$97, [1]DropdownORNamemanagerLists!$B$62:$B$99, 1)-MATCH([1]Milestone_1!$AM$97, [1]DropdownORNamemanagerLists!$B$62:$B$99, 0), 1)</definedName>
    <definedName name="ModifiedStartYearList">OFFSET(DropdownORNamemanagerLists!$B$62, MATCH(Milestone_1!$AM$97, DropdownORNamemanagerLists!$B$62:$B$99, 0)-1, 0, MATCH(Milestone_1!$AO$97, DropdownORNamemanagerLists!$B$62:$B$99, 1)-MATCH(Milestone_1!$AM$97, DropdownORNamemanagerLists!$B$62:$B$99, 0), 1)</definedName>
    <definedName name="NAICS_Code_a">DropdownORNamemanagerLists!$C$20:$C$58</definedName>
    <definedName name="Option_menu">DropdownORNamemanagerLists!$B$13:$B$17</definedName>
    <definedName name="RE_Production" localSheetId="1" xml:space="preserve"> OFFSET([1]TechnologyPhasingCurve!$C$24, 0, 0, 1, COUNT([1]TechnologyPhasingCurve!$C$19:$AQ$19))</definedName>
    <definedName name="RE_Production" xml:space="preserve"> OFFSET(TechnologyPhasingCurve!$C$24, 0, 0, 1, COUNT(TechnologyPhasingCurve!$C$19:$AQ$19))</definedName>
    <definedName name="Scope_Baseline" localSheetId="12">OFFSET(TechnologyPhasingCurve!$C$20, 0, 0, 1, COUNT(TechnologyPhasingCurve!$C$19:$AQ$19))</definedName>
    <definedName name="Scope_CCUS" localSheetId="12" xml:space="preserve"> OFFSET(TechnologyPhasingCurve!$C$28, 0, 0, 1, COUNT(TechnologyPhasingCurve!$C$19:$AQ$19))</definedName>
    <definedName name="Scope_ChartXAxis" localSheetId="12">OFFSET(TechnologyPhasingCurve!$C$19, 0, 0, 1, COUNT(TechnologyPhasingCurve!$C$19:$AQ$19))</definedName>
    <definedName name="Scope_Electrification_Tech" localSheetId="12" xml:space="preserve"> OFFSET(TechnologyPhasingCurve!$C$22, 0, 0, 1, COUNT(TechnologyPhasingCurve!$C$19:$AQ$19))</definedName>
    <definedName name="Scope_Emission_Reduction_Goal" localSheetId="12" xml:space="preserve"> OFFSET(TechnologyPhasingCurve!$C$30, 0, 0, 1,COUNT(TechnologyPhasingCurve!$C$19:$AQ$19))</definedName>
    <definedName name="Scope_Energy_Efficiency" localSheetId="12" xml:space="preserve"> OFFSET(TechnologyPhasingCurve!$C$21, 0, 0, 1, COUNT(TechnologyPhasingCurve!$C$19:$AQ$19))</definedName>
    <definedName name="Scope_Fugitive_Emission" localSheetId="12" xml:space="preserve"> OFFSET(TechnologyPhasingCurve!$C$26, 0, 0, 1, COUNT(TechnologyPhasingCurve!$C$19:$AQ$19))</definedName>
    <definedName name="Scope_Grid_Resiliency" localSheetId="12" xml:space="preserve"> OFFSET(TechnologyPhasingCurve!$C$27, 0, 0, 1, COUNT(TechnologyPhasingCurve!$C$19:$AQ$19))</definedName>
    <definedName name="Scope_Low_Carbon_Fuels" localSheetId="12" xml:space="preserve"> OFFSET(TechnologyPhasingCurve!$C$25, 0, 0, 1, COUNT(TechnologyPhasingCurve!$C$19:$AQ$19))</definedName>
    <definedName name="Scope_Onsite_RE_Gen" localSheetId="12" xml:space="preserve"> OFFSET(TechnologyPhasingCurve!$C$23, 0, 0, 1, COUNT(TechnologyPhasingCurve!$C$19:$AQ$19))</definedName>
    <definedName name="Scope_Other_Pathways" localSheetId="12">OFFSET(TechnologyPhasingCurve!$C$29, 0, 0, 1, COUNT(TechnologyPhasingCurve!$C$19:$AQ$19))</definedName>
    <definedName name="Scope_RE_procurement" localSheetId="12" xml:space="preserve"> OFFSET(TechnologyPhasingCurve!$C$24, 0, 0, 1, COUNT(TechnologyPhasingCurve!$C$19:$AQ$19))</definedName>
    <definedName name="Start_Year">DropdownORNamemanagerLists!$B$61:$B$99</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0" l="1"/>
  <c r="F23" i="20"/>
  <c r="F18" i="20"/>
  <c r="F12" i="20"/>
  <c r="F8" i="20"/>
  <c r="AF52" i="5"/>
  <c r="AE16" i="3"/>
  <c r="AF16" i="3" s="1"/>
  <c r="AQ5" i="20" l="1"/>
  <c r="AM5" i="20"/>
  <c r="I5" i="20"/>
  <c r="BD4" i="20"/>
  <c r="BC4" i="20"/>
  <c r="BB4" i="20"/>
  <c r="BA4" i="20"/>
  <c r="AQ4" i="20"/>
  <c r="AM4" i="20" l="1"/>
  <c r="AD4" i="20"/>
  <c r="I4" i="20" l="1"/>
  <c r="AL100" i="1" l="1"/>
  <c r="AG46" i="7"/>
  <c r="AH46" i="7" s="1"/>
  <c r="AG47" i="7"/>
  <c r="AH47" i="7" s="1"/>
  <c r="G15" i="18" l="1"/>
  <c r="AF47" i="14" l="1"/>
  <c r="AG76" i="7"/>
  <c r="AG55" i="7"/>
  <c r="AX12" i="6"/>
  <c r="AY12" i="6"/>
  <c r="AO81" i="6"/>
  <c r="AP81" i="6" s="1"/>
  <c r="AP66" i="6"/>
  <c r="AO55" i="6"/>
  <c r="AO53" i="6"/>
  <c r="AO54" i="6"/>
  <c r="AO52" i="6"/>
  <c r="AP52" i="6" s="1"/>
  <c r="AO41" i="6"/>
  <c r="AO40" i="6"/>
  <c r="AO38" i="6"/>
  <c r="AO39" i="6"/>
  <c r="AO19" i="6"/>
  <c r="AF122" i="5"/>
  <c r="AG122" i="5" s="1"/>
  <c r="AF121" i="5"/>
  <c r="AG121" i="5" s="1"/>
  <c r="AF120" i="5"/>
  <c r="AG120" i="5" s="1"/>
  <c r="AF119" i="5"/>
  <c r="AG119" i="5" s="1"/>
  <c r="AF118" i="5"/>
  <c r="AG118" i="5" s="1"/>
  <c r="AE37" i="3"/>
  <c r="Y33" i="3" s="1"/>
  <c r="AE36" i="3"/>
  <c r="AF36" i="3" s="1"/>
  <c r="AE35" i="3"/>
  <c r="AF35" i="3" s="1"/>
  <c r="AE34" i="3"/>
  <c r="AF34" i="3" s="1"/>
  <c r="AE33" i="3"/>
  <c r="AF33" i="3" s="1"/>
  <c r="AG4" i="20" l="1"/>
  <c r="AP19" i="6"/>
  <c r="AP38" i="6"/>
  <c r="AK4" i="20" s="1"/>
  <c r="AK5" i="20" s="1"/>
  <c r="C8" i="20" l="1"/>
  <c r="C9" i="20"/>
  <c r="C10" i="20"/>
  <c r="C11" i="20"/>
  <c r="C12" i="20"/>
  <c r="C13" i="20"/>
  <c r="C14" i="20"/>
  <c r="C15" i="20"/>
  <c r="C16" i="20"/>
  <c r="C17" i="20"/>
  <c r="C18" i="20"/>
  <c r="C19" i="20"/>
  <c r="C20" i="20"/>
  <c r="C21" i="20"/>
  <c r="C22" i="20"/>
  <c r="C23" i="20"/>
  <c r="C24" i="20"/>
  <c r="C25" i="20"/>
  <c r="C26" i="20"/>
  <c r="C27" i="20"/>
  <c r="C28" i="20"/>
  <c r="C29" i="20"/>
  <c r="C30" i="20"/>
  <c r="D8" i="20"/>
  <c r="D9" i="20"/>
  <c r="D10" i="20"/>
  <c r="D11" i="20"/>
  <c r="D12" i="20"/>
  <c r="D13" i="20"/>
  <c r="D14" i="20"/>
  <c r="D15" i="20"/>
  <c r="D16" i="20"/>
  <c r="F16" i="20" s="1"/>
  <c r="D17" i="20"/>
  <c r="D18" i="20"/>
  <c r="D19" i="20"/>
  <c r="D20" i="20"/>
  <c r="D21" i="20"/>
  <c r="D22" i="20"/>
  <c r="D23" i="20"/>
  <c r="D24" i="20"/>
  <c r="D25" i="20"/>
  <c r="D26" i="20"/>
  <c r="D27" i="20"/>
  <c r="D28" i="20"/>
  <c r="D29" i="20"/>
  <c r="D30" i="20"/>
  <c r="AF23" i="14"/>
  <c r="Z20" i="14" s="1"/>
  <c r="AF21" i="14"/>
  <c r="AF22" i="14"/>
  <c r="AG101" i="7"/>
  <c r="AH101" i="7" s="1"/>
  <c r="AG35" i="7"/>
  <c r="AH35" i="7" s="1"/>
  <c r="P22" i="7"/>
  <c r="D14" i="16"/>
  <c r="C14" i="16"/>
  <c r="B14" i="16"/>
  <c r="G14" i="16" s="1"/>
  <c r="B29" i="16" s="1"/>
  <c r="AO91" i="6"/>
  <c r="AP91" i="6" s="1"/>
  <c r="AO92" i="6"/>
  <c r="AP92" i="6" s="1"/>
  <c r="AO86" i="6"/>
  <c r="AO87" i="6"/>
  <c r="AO20" i="6"/>
  <c r="W6" i="6"/>
  <c r="U6" i="6"/>
  <c r="S6" i="6"/>
  <c r="S5" i="6"/>
  <c r="U5" i="6"/>
  <c r="W5" i="6"/>
  <c r="AR17" i="6"/>
  <c r="AR16" i="6"/>
  <c r="AR15" i="6"/>
  <c r="AR14" i="6"/>
  <c r="AR11" i="6"/>
  <c r="AQ11" i="6"/>
  <c r="AR9" i="6"/>
  <c r="AR10" i="6"/>
  <c r="AR8" i="6"/>
  <c r="AO8" i="6"/>
  <c r="AF81" i="5"/>
  <c r="AG81" i="5" s="1"/>
  <c r="AF82" i="5"/>
  <c r="AG82" i="5" s="1"/>
  <c r="AF83" i="5"/>
  <c r="AG83" i="5" s="1"/>
  <c r="AF84" i="5"/>
  <c r="AG84" i="5" s="1"/>
  <c r="AF80" i="5"/>
  <c r="AG80" i="5" s="1"/>
  <c r="AA4" i="20" l="1"/>
  <c r="AP20" i="6"/>
  <c r="AM97" i="1"/>
  <c r="AO97" i="1"/>
  <c r="AL97" i="1"/>
  <c r="D6" i="16"/>
  <c r="AF39" i="5"/>
  <c r="AF50" i="5"/>
  <c r="AF33" i="5"/>
  <c r="AF17" i="5"/>
  <c r="AF11" i="5"/>
  <c r="AL104" i="1"/>
  <c r="AL101" i="1"/>
  <c r="AL102" i="1"/>
  <c r="AL103" i="1"/>
  <c r="AL106" i="1" l="1"/>
  <c r="C3" i="16"/>
  <c r="AM100" i="1"/>
  <c r="D3" i="16"/>
  <c r="C6" i="16"/>
  <c r="AH16" i="1"/>
  <c r="AH9" i="1"/>
  <c r="AB9" i="1"/>
  <c r="AH10" i="1"/>
  <c r="AH11" i="1"/>
  <c r="AH12" i="1"/>
  <c r="AH13" i="1"/>
  <c r="AH14" i="1"/>
  <c r="AH15" i="1"/>
  <c r="AH17" i="1"/>
  <c r="AI17" i="1" s="1"/>
  <c r="AH18" i="1"/>
  <c r="AI18" i="1" s="1"/>
  <c r="AH19" i="1"/>
  <c r="AI19" i="1" s="1"/>
  <c r="AH20" i="1"/>
  <c r="AI20" i="1" s="1"/>
  <c r="AH21" i="1"/>
  <c r="AI21" i="1" s="1"/>
  <c r="AH22" i="1"/>
  <c r="Q22" i="7"/>
  <c r="AT17" i="6"/>
  <c r="AS17" i="6"/>
  <c r="AQ17" i="6"/>
  <c r="AP17" i="6"/>
  <c r="AO17" i="6"/>
  <c r="AT11" i="6"/>
  <c r="AS11" i="6"/>
  <c r="AP11" i="6"/>
  <c r="AO11" i="6"/>
  <c r="D8" i="16"/>
  <c r="C8" i="16"/>
  <c r="B8" i="16"/>
  <c r="G8" i="16" s="1"/>
  <c r="B23" i="16" s="1"/>
  <c r="AG98" i="7"/>
  <c r="AO96" i="6"/>
  <c r="AP96" i="6" s="1"/>
  <c r="AO73" i="6"/>
  <c r="AP73" i="6" s="1"/>
  <c r="AO66" i="6"/>
  <c r="AO50" i="6"/>
  <c r="AO48" i="6"/>
  <c r="AO49" i="6"/>
  <c r="AO25" i="6"/>
  <c r="G15" i="16" l="1"/>
  <c r="B3" i="16"/>
  <c r="B2" i="16" s="1"/>
  <c r="AH106" i="1"/>
  <c r="AE48" i="3"/>
  <c r="AH129" i="1"/>
  <c r="AH120" i="1"/>
  <c r="AH119" i="1"/>
  <c r="AH117" i="1"/>
  <c r="AH116" i="1"/>
  <c r="AH115" i="1"/>
  <c r="AH114" i="1"/>
  <c r="AH113" i="1"/>
  <c r="AL108" i="1"/>
  <c r="AL107" i="1"/>
  <c r="AE41" i="3"/>
  <c r="AF41" i="3" s="1"/>
  <c r="E61" i="2" a="1"/>
  <c r="E61" i="2" s="1"/>
  <c r="D61" i="2" a="1"/>
  <c r="D61" i="2" s="1"/>
  <c r="AF56" i="5"/>
  <c r="A57" i="15"/>
  <c r="A56" i="15"/>
  <c r="AE44" i="3"/>
  <c r="AF44" i="3" s="1"/>
  <c r="AE42" i="3"/>
  <c r="AF42" i="3" s="1"/>
  <c r="AE43" i="3"/>
  <c r="AF43" i="3" s="1"/>
  <c r="AF108" i="5"/>
  <c r="AF95" i="5"/>
  <c r="AF90" i="5"/>
  <c r="AH89" i="1"/>
  <c r="AH90" i="1"/>
  <c r="AH91" i="1"/>
  <c r="AH88" i="1"/>
  <c r="AH83" i="1"/>
  <c r="AH84" i="1"/>
  <c r="AH85" i="1"/>
  <c r="AH86" i="1"/>
  <c r="AH82" i="1"/>
  <c r="AH80" i="1"/>
  <c r="AH77" i="1"/>
  <c r="AH78" i="1"/>
  <c r="AH79" i="1"/>
  <c r="AH76" i="1"/>
  <c r="AH74" i="1"/>
  <c r="AH71" i="1"/>
  <c r="AH72" i="1"/>
  <c r="AH73" i="1"/>
  <c r="AH70" i="1"/>
  <c r="AH65" i="1"/>
  <c r="AH66" i="1"/>
  <c r="AH67" i="1"/>
  <c r="AH68" i="1"/>
  <c r="AH64" i="1"/>
  <c r="AH59" i="1"/>
  <c r="AH60" i="1"/>
  <c r="AH61" i="1"/>
  <c r="AH62" i="1"/>
  <c r="AH58" i="1"/>
  <c r="AH56" i="1"/>
  <c r="AH55" i="1"/>
  <c r="AH54" i="1"/>
  <c r="AH53" i="1"/>
  <c r="O4" i="20" l="1"/>
  <c r="AB88" i="1"/>
  <c r="AI88" i="1"/>
  <c r="F4" i="20" s="1"/>
  <c r="F5" i="20" s="1"/>
  <c r="AI9" i="1"/>
  <c r="AI58" i="1"/>
  <c r="AI64" i="1"/>
  <c r="AI70" i="1"/>
  <c r="AI76" i="1"/>
  <c r="AI82" i="1"/>
  <c r="AB52" i="1"/>
  <c r="AI42" i="6"/>
  <c r="AG3" i="7"/>
  <c r="AG27" i="7"/>
  <c r="AG28" i="7"/>
  <c r="AG29" i="7"/>
  <c r="AG30" i="7"/>
  <c r="AG31" i="7"/>
  <c r="AG32" i="7"/>
  <c r="AG26" i="7"/>
  <c r="AO71" i="6"/>
  <c r="AO64" i="6"/>
  <c r="B20" i="16" l="1"/>
  <c r="E15" i="16"/>
  <c r="D7" i="16"/>
  <c r="D9" i="16"/>
  <c r="D10" i="16"/>
  <c r="D11" i="16"/>
  <c r="D12" i="16"/>
  <c r="D13" i="16"/>
  <c r="D15" i="16"/>
  <c r="C7" i="16"/>
  <c r="C9" i="16"/>
  <c r="C10" i="16"/>
  <c r="C11" i="16"/>
  <c r="C12" i="16"/>
  <c r="C13" i="16"/>
  <c r="B7" i="16"/>
  <c r="G7" i="16" s="1"/>
  <c r="B22" i="16" s="1"/>
  <c r="B9" i="16"/>
  <c r="G9" i="16" s="1"/>
  <c r="B24" i="16" s="1"/>
  <c r="B10" i="16"/>
  <c r="G10" i="16" s="1"/>
  <c r="B25" i="16" s="1"/>
  <c r="B11" i="16"/>
  <c r="G11" i="16" s="1"/>
  <c r="B26" i="16" s="1"/>
  <c r="B12" i="16"/>
  <c r="G12" i="16" s="1"/>
  <c r="B27" i="16" s="1"/>
  <c r="B13" i="16"/>
  <c r="G13" i="16" s="1"/>
  <c r="B28" i="16" s="1"/>
  <c r="B15" i="16"/>
  <c r="B6" i="16"/>
  <c r="G6" i="16" s="1"/>
  <c r="B21" i="16" s="1"/>
  <c r="C15" i="16"/>
  <c r="AE8" i="9"/>
  <c r="AD8" i="9"/>
  <c r="AH8" i="9" s="1"/>
  <c r="G4" i="16"/>
  <c r="B19" i="16" s="1"/>
  <c r="H9" i="16" l="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AM9" i="16" s="1"/>
  <c r="AN9" i="16" s="1"/>
  <c r="AO9" i="16" s="1"/>
  <c r="AP9" i="16" s="1"/>
  <c r="AQ9" i="16" s="1"/>
  <c r="AR9" i="16" s="1"/>
  <c r="AS9" i="16" s="1"/>
  <c r="AT9" i="16" s="1"/>
  <c r="B30" i="16" l="1"/>
  <c r="E3" i="16"/>
  <c r="C5" i="16"/>
  <c r="D5" i="16"/>
  <c r="E5" i="16"/>
  <c r="C2" i="16"/>
  <c r="D2" i="16"/>
  <c r="E2" i="16"/>
  <c r="AF38" i="5"/>
  <c r="AF27" i="5"/>
  <c r="AO72" i="6"/>
  <c r="AO33" i="6"/>
  <c r="AO24" i="6"/>
  <c r="AI19" i="6" s="1"/>
  <c r="C19" i="16" l="1" a="1"/>
  <c r="C19" i="16" s="1"/>
  <c r="E14" i="16"/>
  <c r="H14" i="16" s="1"/>
  <c r="E9" i="16"/>
  <c r="E13" i="16"/>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AJ13" i="16" s="1"/>
  <c r="AK13" i="16" s="1"/>
  <c r="AL13" i="16" s="1"/>
  <c r="AM13" i="16" s="1"/>
  <c r="AN13" i="16" s="1"/>
  <c r="AO13" i="16" s="1"/>
  <c r="AP13" i="16" s="1"/>
  <c r="AQ13" i="16" s="1"/>
  <c r="AR13" i="16" s="1"/>
  <c r="AS13" i="16" s="1"/>
  <c r="AT13" i="16" s="1"/>
  <c r="E10" i="16"/>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AI10" i="16" s="1"/>
  <c r="AJ10" i="16" s="1"/>
  <c r="AK10" i="16" s="1"/>
  <c r="AL10" i="16" s="1"/>
  <c r="AM10" i="16" s="1"/>
  <c r="AN10" i="16" s="1"/>
  <c r="AO10" i="16" s="1"/>
  <c r="AP10" i="16" s="1"/>
  <c r="AQ10" i="16" s="1"/>
  <c r="AR10" i="16" s="1"/>
  <c r="AS10" i="16" s="1"/>
  <c r="AT10" i="16" s="1"/>
  <c r="E6" i="16"/>
  <c r="H6" i="16" s="1"/>
  <c r="E7" i="16"/>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AN7" i="16" s="1"/>
  <c r="AO7" i="16" s="1"/>
  <c r="AP7" i="16" s="1"/>
  <c r="AQ7" i="16" s="1"/>
  <c r="AR7" i="16" s="1"/>
  <c r="AS7" i="16" s="1"/>
  <c r="AT7" i="16" s="1"/>
  <c r="E11" i="16"/>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AM11" i="16" s="1"/>
  <c r="AN11" i="16" s="1"/>
  <c r="AO11" i="16" s="1"/>
  <c r="AP11" i="16" s="1"/>
  <c r="AQ11" i="16" s="1"/>
  <c r="AR11" i="16" s="1"/>
  <c r="AS11" i="16" s="1"/>
  <c r="AT11" i="16" s="1"/>
  <c r="E8" i="16"/>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 r="AQ8" i="16" s="1"/>
  <c r="AR8" i="16" s="1"/>
  <c r="AS8" i="16" s="1"/>
  <c r="AT8" i="16" s="1"/>
  <c r="E12" i="16"/>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AN12" i="16" s="1"/>
  <c r="AO12" i="16" s="1"/>
  <c r="AP12" i="16" s="1"/>
  <c r="AQ12" i="16" s="1"/>
  <c r="AR12" i="16" s="1"/>
  <c r="AS12" i="16" s="1"/>
  <c r="AT12" i="16" s="1"/>
  <c r="I15" i="16"/>
  <c r="M15" i="16"/>
  <c r="Q15" i="16"/>
  <c r="U15" i="16"/>
  <c r="Y15" i="16"/>
  <c r="AC15" i="16"/>
  <c r="AG15" i="16"/>
  <c r="AK15" i="16"/>
  <c r="AO15" i="16"/>
  <c r="AS15" i="16"/>
  <c r="J15" i="16"/>
  <c r="N15" i="16"/>
  <c r="R15" i="16"/>
  <c r="V15" i="16"/>
  <c r="Z15" i="16"/>
  <c r="AD15" i="16"/>
  <c r="AH15" i="16"/>
  <c r="AL15" i="16"/>
  <c r="AP15" i="16"/>
  <c r="AT15" i="16"/>
  <c r="K15" i="16"/>
  <c r="O15" i="16"/>
  <c r="S15" i="16"/>
  <c r="W15" i="16"/>
  <c r="AA15" i="16"/>
  <c r="AE15" i="16"/>
  <c r="AI15" i="16"/>
  <c r="AM15" i="16"/>
  <c r="AQ15" i="16"/>
  <c r="H15" i="16"/>
  <c r="L15" i="16"/>
  <c r="P15" i="16"/>
  <c r="T15" i="16"/>
  <c r="X15" i="16"/>
  <c r="AB15" i="16"/>
  <c r="AF15" i="16"/>
  <c r="AJ15" i="16"/>
  <c r="AN15" i="16"/>
  <c r="AR15" i="16"/>
  <c r="C2" i="18"/>
  <c r="K12" i="18"/>
  <c r="K10" i="18"/>
  <c r="B2" i="18"/>
  <c r="H14" i="18" s="1"/>
  <c r="B8" i="18"/>
  <c r="C8" i="18"/>
  <c r="B14" i="18"/>
  <c r="C14" i="18"/>
  <c r="B18" i="18"/>
  <c r="C18" i="18"/>
  <c r="B25" i="18"/>
  <c r="C25" i="18"/>
  <c r="B31" i="18"/>
  <c r="C31" i="18"/>
  <c r="I14" i="16" l="1"/>
  <c r="H16" i="16"/>
  <c r="H5" i="16" s="1"/>
  <c r="I6" i="16"/>
  <c r="B26" i="17"/>
  <c r="B35" i="17"/>
  <c r="B34" i="17"/>
  <c r="B33" i="17"/>
  <c r="B32" i="17"/>
  <c r="B29" i="17"/>
  <c r="B28" i="17"/>
  <c r="B27" i="17"/>
  <c r="B23" i="17"/>
  <c r="B22" i="17"/>
  <c r="B21" i="17"/>
  <c r="B20" i="17"/>
  <c r="B19" i="17"/>
  <c r="B16" i="17"/>
  <c r="B15" i="17"/>
  <c r="B12" i="17"/>
  <c r="B11" i="17"/>
  <c r="B10" i="17"/>
  <c r="B9" i="17"/>
  <c r="B6" i="17"/>
  <c r="B5" i="17"/>
  <c r="B4" i="17"/>
  <c r="B3" i="17"/>
  <c r="AG107" i="7"/>
  <c r="AG108" i="7"/>
  <c r="AG97" i="7"/>
  <c r="AA89" i="7" s="1"/>
  <c r="AG84" i="7"/>
  <c r="AG77" i="7"/>
  <c r="AG69" i="7"/>
  <c r="AG63" i="7"/>
  <c r="AG56" i="7"/>
  <c r="AG48" i="7"/>
  <c r="AG39" i="7"/>
  <c r="D3" i="17"/>
  <c r="C3" i="18" s="1"/>
  <c r="D33" i="17"/>
  <c r="D34" i="17"/>
  <c r="D35" i="17"/>
  <c r="C35" i="18" s="1"/>
  <c r="D32" i="17"/>
  <c r="D27" i="17"/>
  <c r="D28" i="17"/>
  <c r="C28" i="18" s="1"/>
  <c r="D29" i="17"/>
  <c r="D26" i="17"/>
  <c r="D20" i="17"/>
  <c r="D21" i="17"/>
  <c r="D22" i="17"/>
  <c r="D23" i="17"/>
  <c r="D19" i="17"/>
  <c r="D16" i="17"/>
  <c r="D15" i="17"/>
  <c r="D10" i="17"/>
  <c r="D11" i="17"/>
  <c r="D12" i="17"/>
  <c r="D9" i="17"/>
  <c r="D6" i="17"/>
  <c r="D4" i="17"/>
  <c r="D5" i="17"/>
  <c r="A33" i="17"/>
  <c r="A34" i="17"/>
  <c r="A35" i="17"/>
  <c r="A32" i="17"/>
  <c r="A31" i="17"/>
  <c r="A31" i="18" s="1"/>
  <c r="F25" i="18" s="1"/>
  <c r="A29" i="17"/>
  <c r="A27" i="17"/>
  <c r="A28" i="17"/>
  <c r="A26" i="17"/>
  <c r="A25" i="17"/>
  <c r="A25" i="18" s="1"/>
  <c r="F23" i="18" s="1"/>
  <c r="AD6" i="9" s="1"/>
  <c r="AH6" i="9" s="1"/>
  <c r="A20" i="17"/>
  <c r="A21" i="17"/>
  <c r="A22" i="17"/>
  <c r="A23" i="17"/>
  <c r="A19" i="17"/>
  <c r="A18" i="17"/>
  <c r="A18" i="18" s="1"/>
  <c r="F21" i="18" s="1"/>
  <c r="AD5" i="9" s="1"/>
  <c r="AH5" i="9" s="1"/>
  <c r="A16" i="17"/>
  <c r="A15" i="17"/>
  <c r="A14" i="17"/>
  <c r="A14" i="18" s="1"/>
  <c r="F19" i="18" s="1"/>
  <c r="AD4" i="9" s="1"/>
  <c r="AH4" i="9" s="1"/>
  <c r="A12" i="17"/>
  <c r="A11" i="17"/>
  <c r="A10" i="17"/>
  <c r="A9" i="17"/>
  <c r="A8" i="17"/>
  <c r="A8" i="18" s="1"/>
  <c r="F17" i="18" s="1"/>
  <c r="AD3" i="9" s="1"/>
  <c r="AH3" i="9" s="1"/>
  <c r="A6" i="17"/>
  <c r="A5" i="17"/>
  <c r="A4" i="17"/>
  <c r="A2" i="17"/>
  <c r="A3" i="17"/>
  <c r="J14" i="16" l="1"/>
  <c r="I16" i="16"/>
  <c r="I5" i="16" s="1"/>
  <c r="J6" i="16"/>
  <c r="A2" i="18"/>
  <c r="F15" i="18" s="1"/>
  <c r="AD2" i="9" s="1"/>
  <c r="AH2" i="9" s="1"/>
  <c r="F9" i="18"/>
  <c r="AD7" i="9"/>
  <c r="AH7" i="9" s="1"/>
  <c r="E3" i="17"/>
  <c r="E4" i="17"/>
  <c r="C4" i="18"/>
  <c r="E11" i="17"/>
  <c r="C11" i="18"/>
  <c r="E29" i="17"/>
  <c r="C29" i="18"/>
  <c r="E6" i="17"/>
  <c r="C6" i="18"/>
  <c r="E10" i="17"/>
  <c r="C10" i="18"/>
  <c r="E34" i="17"/>
  <c r="C34" i="18"/>
  <c r="D13" i="17"/>
  <c r="C13" i="18" s="1"/>
  <c r="E9" i="17"/>
  <c r="C9" i="18"/>
  <c r="E35" i="17"/>
  <c r="E27" i="17"/>
  <c r="C27" i="18"/>
  <c r="E33" i="17"/>
  <c r="C33" i="18"/>
  <c r="D7" i="17"/>
  <c r="C7" i="18" s="1"/>
  <c r="E5" i="17"/>
  <c r="C5" i="18"/>
  <c r="E12" i="17"/>
  <c r="C12" i="18"/>
  <c r="E28" i="17"/>
  <c r="E26" i="17"/>
  <c r="C26" i="18"/>
  <c r="E32" i="17"/>
  <c r="C32" i="18"/>
  <c r="D36" i="17"/>
  <c r="C36" i="18" s="1"/>
  <c r="G25" i="18" s="1"/>
  <c r="AE7" i="9" s="1"/>
  <c r="E15" i="17"/>
  <c r="C15" i="18"/>
  <c r="E16" i="17"/>
  <c r="C16" i="18"/>
  <c r="D17" i="17"/>
  <c r="C17" i="18" s="1"/>
  <c r="G19" i="18" s="1"/>
  <c r="AE4" i="9" s="1"/>
  <c r="E23" i="17"/>
  <c r="C23" i="18"/>
  <c r="E22" i="17"/>
  <c r="C22" i="18"/>
  <c r="E21" i="17"/>
  <c r="C21" i="18"/>
  <c r="E19" i="17"/>
  <c r="C19" i="18"/>
  <c r="E20" i="17"/>
  <c r="C20" i="18"/>
  <c r="AA100" i="7"/>
  <c r="D30" i="17"/>
  <c r="C30" i="18" s="1"/>
  <c r="G23" i="18" s="1"/>
  <c r="AE6" i="9" s="1"/>
  <c r="D24" i="17"/>
  <c r="C24" i="18" s="1"/>
  <c r="G21" i="18" s="1"/>
  <c r="AE5" i="9" s="1"/>
  <c r="G17" i="18" l="1"/>
  <c r="AE3" i="9" s="1"/>
  <c r="K14" i="16"/>
  <c r="J16" i="16"/>
  <c r="J5" i="16" s="1"/>
  <c r="K6" i="16"/>
  <c r="AE2" i="9"/>
  <c r="E24" i="17"/>
  <c r="E30" i="17"/>
  <c r="E13" i="17"/>
  <c r="E36" i="17"/>
  <c r="E7" i="17"/>
  <c r="E17" i="17"/>
  <c r="L14" i="16" l="1"/>
  <c r="K16" i="16"/>
  <c r="K5" i="16" s="1"/>
  <c r="L6" i="16"/>
  <c r="AO95" i="6"/>
  <c r="AP95" i="6" s="1"/>
  <c r="AO79" i="6"/>
  <c r="AO80" i="6"/>
  <c r="AO65" i="6"/>
  <c r="AI59" i="6" s="1"/>
  <c r="AT8" i="6"/>
  <c r="A79" i="15"/>
  <c r="A78" i="15"/>
  <c r="A76" i="15"/>
  <c r="A75" i="15"/>
  <c r="A74" i="15"/>
  <c r="A72" i="15"/>
  <c r="A71" i="15"/>
  <c r="A70" i="15"/>
  <c r="A69" i="15"/>
  <c r="A68" i="15"/>
  <c r="A67" i="15"/>
  <c r="A66" i="15"/>
  <c r="A65" i="15"/>
  <c r="A63" i="15"/>
  <c r="A62" i="15"/>
  <c r="A60" i="15"/>
  <c r="A59" i="15"/>
  <c r="A55" i="15"/>
  <c r="A53" i="15"/>
  <c r="A51" i="15"/>
  <c r="A49" i="15"/>
  <c r="A48" i="15"/>
  <c r="A89" i="15"/>
  <c r="A87" i="15"/>
  <c r="A85" i="15"/>
  <c r="A83" i="15"/>
  <c r="A82" i="15"/>
  <c r="A81" i="15"/>
  <c r="AF116" i="5"/>
  <c r="Z111" i="5" s="1"/>
  <c r="A46" i="15"/>
  <c r="A45" i="15"/>
  <c r="A44" i="15"/>
  <c r="A43" i="15"/>
  <c r="A42" i="15"/>
  <c r="A41" i="15"/>
  <c r="A33" i="15"/>
  <c r="A38" i="15"/>
  <c r="A37" i="15"/>
  <c r="A36" i="15"/>
  <c r="A35" i="15"/>
  <c r="A34" i="15"/>
  <c r="A32" i="15"/>
  <c r="A31" i="15"/>
  <c r="A30" i="15"/>
  <c r="A29" i="15"/>
  <c r="A28" i="15"/>
  <c r="AE17" i="3"/>
  <c r="Y7" i="3" s="1"/>
  <c r="AE15" i="3"/>
  <c r="A26" i="15"/>
  <c r="A25" i="15"/>
  <c r="A23" i="15"/>
  <c r="A22" i="15"/>
  <c r="A20" i="15"/>
  <c r="A18" i="15"/>
  <c r="A16" i="15"/>
  <c r="A15" i="15"/>
  <c r="A13" i="15"/>
  <c r="A12" i="15"/>
  <c r="A11" i="15"/>
  <c r="A10" i="15"/>
  <c r="A8" i="15"/>
  <c r="A7" i="15"/>
  <c r="A6" i="15"/>
  <c r="A4" i="15"/>
  <c r="A3" i="15"/>
  <c r="AB119" i="1"/>
  <c r="AH128" i="1"/>
  <c r="AH41" i="1"/>
  <c r="M14" i="16" l="1"/>
  <c r="L16" i="16"/>
  <c r="L5" i="16" s="1"/>
  <c r="M6" i="16"/>
  <c r="AB25" i="1"/>
  <c r="N14" i="16" l="1"/>
  <c r="M16" i="16"/>
  <c r="N6" i="16"/>
  <c r="O14" i="16" l="1"/>
  <c r="N16" i="16"/>
  <c r="O6" i="16"/>
  <c r="AP79" i="6"/>
  <c r="AL9" i="5"/>
  <c r="AK9" i="5"/>
  <c r="AN13" i="1"/>
  <c r="AM13" i="1"/>
  <c r="AK11" i="3"/>
  <c r="AJ11" i="3"/>
  <c r="AL11" i="14"/>
  <c r="AK11" i="14"/>
  <c r="AM11" i="7"/>
  <c r="AL11" i="7"/>
  <c r="AG90" i="7"/>
  <c r="AH90" i="7" s="1"/>
  <c r="AG91" i="7"/>
  <c r="AH91" i="7" s="1"/>
  <c r="AG92" i="7"/>
  <c r="AH92" i="7" s="1"/>
  <c r="AG93" i="7"/>
  <c r="AH93" i="7" s="1"/>
  <c r="AG94" i="7"/>
  <c r="AH94" i="7" s="1"/>
  <c r="AG95" i="7"/>
  <c r="AH95" i="7" s="1"/>
  <c r="AG96" i="7"/>
  <c r="AH96" i="7" s="1"/>
  <c r="AG89" i="7"/>
  <c r="AO94" i="6"/>
  <c r="AP94" i="6" s="1"/>
  <c r="AO93" i="6"/>
  <c r="AP93" i="6" s="1"/>
  <c r="AO90" i="6"/>
  <c r="AO88" i="6"/>
  <c r="AI85" i="6" s="1"/>
  <c r="AO85" i="6"/>
  <c r="AO30" i="6"/>
  <c r="AP30" i="6" s="1"/>
  <c r="AZ11" i="6"/>
  <c r="E22" i="20" s="1"/>
  <c r="AT16" i="6"/>
  <c r="AT15" i="6"/>
  <c r="AT14" i="6"/>
  <c r="AT10" i="6"/>
  <c r="AT9" i="6"/>
  <c r="AS16" i="6"/>
  <c r="AS15" i="6"/>
  <c r="AS14" i="6"/>
  <c r="AS10" i="6"/>
  <c r="AS9" i="6"/>
  <c r="AS8" i="6"/>
  <c r="AQ16" i="6"/>
  <c r="AQ15" i="6"/>
  <c r="AQ14" i="6"/>
  <c r="AQ10" i="6"/>
  <c r="AQ9" i="6"/>
  <c r="AQ8" i="6"/>
  <c r="AP16" i="6"/>
  <c r="AP15" i="6"/>
  <c r="AP14" i="6"/>
  <c r="AP10" i="6"/>
  <c r="AP9" i="6"/>
  <c r="AP8" i="6"/>
  <c r="AO9" i="6"/>
  <c r="AO10" i="6"/>
  <c r="AO14" i="6"/>
  <c r="AO15" i="6"/>
  <c r="AO16" i="6"/>
  <c r="AO78" i="6"/>
  <c r="AP78" i="6" s="1"/>
  <c r="AO77" i="6"/>
  <c r="AP77" i="6" s="1"/>
  <c r="AO76" i="6"/>
  <c r="AP76" i="6" s="1"/>
  <c r="AO75" i="6"/>
  <c r="AO70" i="6"/>
  <c r="AO69" i="6"/>
  <c r="AP69" i="6" s="1"/>
  <c r="AO68" i="6"/>
  <c r="AP68" i="6" s="1"/>
  <c r="AO60" i="6"/>
  <c r="AP60" i="6" s="1"/>
  <c r="AO44" i="6"/>
  <c r="AP44" i="6" s="1"/>
  <c r="AO23" i="6"/>
  <c r="AM7" i="14"/>
  <c r="E27" i="20" s="1"/>
  <c r="AO4" i="20" l="1"/>
  <c r="AO5" i="20" s="1"/>
  <c r="AI90" i="6" a="1"/>
  <c r="AI90" i="6" s="1"/>
  <c r="AI68" i="6" a="1"/>
  <c r="AI68" i="6" s="1"/>
  <c r="AP85" i="6"/>
  <c r="AP5" i="6"/>
  <c r="AU14" i="6"/>
  <c r="AU8" i="6"/>
  <c r="AO5" i="6"/>
  <c r="P14" i="16"/>
  <c r="O16" i="16"/>
  <c r="P6" i="16"/>
  <c r="AH89" i="7"/>
  <c r="AP23" i="6"/>
  <c r="AO97" i="6"/>
  <c r="AP90" i="6"/>
  <c r="AR4" i="20" s="1"/>
  <c r="AR5" i="20" s="1"/>
  <c r="AP75" i="6"/>
  <c r="AP4" i="20" s="1"/>
  <c r="AP5" i="20" s="1"/>
  <c r="AI75" i="6" a="1"/>
  <c r="AI75" i="6" s="1"/>
  <c r="AP70" i="6"/>
  <c r="AH4" i="20" l="1"/>
  <c r="AH5" i="20" s="1"/>
  <c r="AQ85" i="6"/>
  <c r="Q14" i="16"/>
  <c r="P16" i="16"/>
  <c r="Q6" i="16"/>
  <c r="AI5" i="6"/>
  <c r="AP97" i="6"/>
  <c r="AF107" i="5"/>
  <c r="AF106" i="5"/>
  <c r="Z103" i="5" s="1"/>
  <c r="R14" i="16" l="1"/>
  <c r="Q16" i="16"/>
  <c r="R6" i="16"/>
  <c r="C23" i="17"/>
  <c r="F23" i="17" s="1"/>
  <c r="J23" i="17" s="1"/>
  <c r="AF124" i="5"/>
  <c r="Z118" i="5" s="1"/>
  <c r="AO9" i="1"/>
  <c r="E8" i="20" s="1"/>
  <c r="AF47" i="5"/>
  <c r="AN9" i="7"/>
  <c r="E25" i="20" s="1"/>
  <c r="AN10" i="7"/>
  <c r="E26" i="20" s="1"/>
  <c r="AN8" i="7"/>
  <c r="E24" i="20" s="1"/>
  <c r="AN7" i="7"/>
  <c r="BC5" i="20" l="1"/>
  <c r="BD5" i="20"/>
  <c r="BB5" i="20"/>
  <c r="BA5" i="20"/>
  <c r="E23" i="20"/>
  <c r="S14" i="16"/>
  <c r="R16" i="16"/>
  <c r="S6" i="16"/>
  <c r="B23" i="18"/>
  <c r="D23" i="18" s="1"/>
  <c r="I23" i="17"/>
  <c r="G23" i="17"/>
  <c r="AZ7" i="6"/>
  <c r="E18" i="20" l="1"/>
  <c r="T14" i="16"/>
  <c r="S16" i="16"/>
  <c r="T6" i="16"/>
  <c r="AE13" i="3"/>
  <c r="AF13" i="3" s="1"/>
  <c r="AH40" i="1"/>
  <c r="AI40" i="1" s="1"/>
  <c r="AH39" i="1"/>
  <c r="U14" i="16" l="1"/>
  <c r="T16" i="16"/>
  <c r="U6" i="16"/>
  <c r="AM8" i="5"/>
  <c r="AM10" i="14"/>
  <c r="E30" i="20" s="1"/>
  <c r="AM9" i="14"/>
  <c r="E29" i="20" s="1"/>
  <c r="AM8" i="14"/>
  <c r="E28" i="20" s="1"/>
  <c r="AZ10" i="6"/>
  <c r="E21" i="20" s="1"/>
  <c r="AZ9" i="6"/>
  <c r="E20" i="20" s="1"/>
  <c r="AZ8" i="6"/>
  <c r="E19" i="20" s="1"/>
  <c r="AM7" i="5"/>
  <c r="E16" i="20" s="1"/>
  <c r="AL10" i="3"/>
  <c r="E15" i="20" s="1"/>
  <c r="O5" i="20" s="1"/>
  <c r="AL9" i="3"/>
  <c r="E14" i="20" s="1"/>
  <c r="AL8" i="3"/>
  <c r="E13" i="20" s="1"/>
  <c r="AL7" i="3"/>
  <c r="AO10" i="1"/>
  <c r="E9" i="20" s="1"/>
  <c r="AO11" i="1"/>
  <c r="E10" i="20" s="1"/>
  <c r="AO12" i="1"/>
  <c r="E11" i="20" s="1"/>
  <c r="E12" i="20" l="1"/>
  <c r="E17" i="20"/>
  <c r="AA5" i="20" s="1"/>
  <c r="V14" i="16"/>
  <c r="U16" i="16"/>
  <c r="V6" i="16"/>
  <c r="AI11" i="1"/>
  <c r="AP48" i="6"/>
  <c r="AO47" i="6"/>
  <c r="AP47" i="6" s="1"/>
  <c r="AO46" i="6"/>
  <c r="AP46" i="6" s="1"/>
  <c r="AO45" i="6"/>
  <c r="AP45" i="6" s="1"/>
  <c r="AO43" i="6"/>
  <c r="AD5" i="20" l="1"/>
  <c r="AG5" i="20"/>
  <c r="W14" i="16"/>
  <c r="V16" i="16"/>
  <c r="AO56" i="6"/>
  <c r="W6" i="16"/>
  <c r="AP43" i="6"/>
  <c r="AL4" i="20" s="1"/>
  <c r="AL5" i="20" s="1"/>
  <c r="AI10" i="1"/>
  <c r="AO29" i="6"/>
  <c r="AO31" i="6"/>
  <c r="AP31" i="6" s="1"/>
  <c r="AO32" i="6"/>
  <c r="AO61" i="6"/>
  <c r="AO62" i="6"/>
  <c r="AP62" i="6" s="1"/>
  <c r="AO63" i="6"/>
  <c r="AP63" i="6" s="1"/>
  <c r="AO21" i="6"/>
  <c r="AO59" i="6"/>
  <c r="AO22" i="6"/>
  <c r="AF67" i="5"/>
  <c r="AF63" i="5"/>
  <c r="AF64" i="5"/>
  <c r="AF65" i="5"/>
  <c r="AF66" i="5"/>
  <c r="AP32" i="6" l="1"/>
  <c r="AI27" i="6" a="1"/>
  <c r="AI27" i="6" s="1"/>
  <c r="AG63" i="5"/>
  <c r="Z4" i="20" s="1"/>
  <c r="Z5" i="20" s="1"/>
  <c r="AQ29" i="6"/>
  <c r="AQ38" i="6"/>
  <c r="C21" i="17" s="1"/>
  <c r="B21" i="18" s="1"/>
  <c r="D21" i="18" s="1"/>
  <c r="AP56" i="6"/>
  <c r="X14" i="16"/>
  <c r="W16" i="16"/>
  <c r="AP21" i="6"/>
  <c r="AI4" i="20" s="1"/>
  <c r="AI5" i="20" s="1"/>
  <c r="X6" i="16"/>
  <c r="AO26" i="6"/>
  <c r="AP61" i="6"/>
  <c r="AO82" i="6"/>
  <c r="AP22" i="6"/>
  <c r="Z63" i="5"/>
  <c r="AP59" i="6"/>
  <c r="AP29" i="6"/>
  <c r="AJ4" i="20" s="1"/>
  <c r="AJ5" i="20" s="1"/>
  <c r="AO35" i="6"/>
  <c r="AI15" i="1"/>
  <c r="AG118" i="7"/>
  <c r="AA115" i="7" s="1"/>
  <c r="AG117" i="7"/>
  <c r="AG116" i="7"/>
  <c r="AG115" i="7"/>
  <c r="AG113" i="7"/>
  <c r="AG112" i="7"/>
  <c r="AH107" i="7"/>
  <c r="AG106" i="7"/>
  <c r="AG105" i="7"/>
  <c r="AH105" i="7" s="1"/>
  <c r="AG104" i="7"/>
  <c r="AH104" i="7" s="1"/>
  <c r="AG103" i="7"/>
  <c r="AH103" i="7" s="1"/>
  <c r="AG102" i="7"/>
  <c r="AH102" i="7" s="1"/>
  <c r="AG100" i="7"/>
  <c r="AH100" i="7" s="1"/>
  <c r="AG83" i="7"/>
  <c r="AH83" i="7" s="1"/>
  <c r="AG82" i="7"/>
  <c r="AH82" i="7" s="1"/>
  <c r="AG81" i="7"/>
  <c r="AH81" i="7" s="1"/>
  <c r="AG80" i="7"/>
  <c r="AG75" i="7"/>
  <c r="AG74" i="7"/>
  <c r="AG73" i="7"/>
  <c r="AH73" i="7" s="1"/>
  <c r="AG72" i="7"/>
  <c r="AG68" i="7"/>
  <c r="AG67" i="7"/>
  <c r="AH67" i="7" s="1"/>
  <c r="AG66" i="7"/>
  <c r="AG62" i="7"/>
  <c r="AH62" i="7" s="1"/>
  <c r="AG61" i="7"/>
  <c r="AH61" i="7" s="1"/>
  <c r="AG60" i="7"/>
  <c r="AH60" i="7" s="1"/>
  <c r="AG59" i="7"/>
  <c r="AG54" i="7"/>
  <c r="AG53" i="7"/>
  <c r="AH53" i="7" s="1"/>
  <c r="AG52" i="7"/>
  <c r="AG51" i="7"/>
  <c r="AG45" i="7"/>
  <c r="AH45" i="7" s="1"/>
  <c r="AG44" i="7"/>
  <c r="AH44" i="7" s="1"/>
  <c r="AG43" i="7"/>
  <c r="AH43" i="7" s="1"/>
  <c r="AG42" i="7"/>
  <c r="AG38" i="7"/>
  <c r="AH38" i="7" s="1"/>
  <c r="AG37" i="7"/>
  <c r="AH37" i="7" s="1"/>
  <c r="AG36" i="7"/>
  <c r="AH36" i="7" s="1"/>
  <c r="AG34" i="7"/>
  <c r="AG9" i="7"/>
  <c r="AF46" i="14"/>
  <c r="Z42" i="14" s="1"/>
  <c r="AF45" i="14"/>
  <c r="AF44" i="14"/>
  <c r="AF43" i="14"/>
  <c r="AF42" i="14"/>
  <c r="AG42" i="14" s="1"/>
  <c r="AF38" i="14"/>
  <c r="Z34" i="14" s="1"/>
  <c r="AF37" i="14"/>
  <c r="AF36" i="14"/>
  <c r="AF35" i="14"/>
  <c r="AF34" i="14"/>
  <c r="AF30" i="14"/>
  <c r="Z27" i="14" s="1"/>
  <c r="AF29" i="14"/>
  <c r="AF28" i="14"/>
  <c r="AF27" i="14"/>
  <c r="AF20" i="14"/>
  <c r="AG20" i="14" s="1"/>
  <c r="BG4" i="20" s="1"/>
  <c r="BG5" i="20" s="1"/>
  <c r="AF18" i="14"/>
  <c r="Z13" i="14" s="1"/>
  <c r="AF17" i="14"/>
  <c r="AF16" i="14"/>
  <c r="AF15" i="14"/>
  <c r="AF14" i="14"/>
  <c r="AF13" i="14"/>
  <c r="AF7" i="14"/>
  <c r="AF11" i="14"/>
  <c r="Z7" i="14" s="1"/>
  <c r="AF10" i="14"/>
  <c r="AF9" i="14"/>
  <c r="AF8" i="14"/>
  <c r="AF114" i="5"/>
  <c r="AG114" i="5" s="1"/>
  <c r="AF113" i="5"/>
  <c r="AG113" i="5" s="1"/>
  <c r="AF112" i="5"/>
  <c r="AG112" i="5" s="1"/>
  <c r="AF111" i="5"/>
  <c r="AG111" i="5" s="1"/>
  <c r="AF104" i="5"/>
  <c r="AG104" i="5" s="1"/>
  <c r="AF105" i="5"/>
  <c r="AG105" i="5" s="1"/>
  <c r="AF103" i="5"/>
  <c r="AG103" i="5" s="1"/>
  <c r="AF94" i="5"/>
  <c r="AF96" i="5"/>
  <c r="Z93" i="5" s="1"/>
  <c r="AF93" i="5"/>
  <c r="AF86" i="5"/>
  <c r="AF91" i="5"/>
  <c r="AF89" i="5"/>
  <c r="AF88" i="5"/>
  <c r="AF87" i="5"/>
  <c r="AF61" i="5"/>
  <c r="Z58" i="5" s="1"/>
  <c r="AF60" i="5"/>
  <c r="AF59" i="5"/>
  <c r="AF58" i="5"/>
  <c r="AF55" i="5"/>
  <c r="Z52" i="5" s="1"/>
  <c r="AF54" i="5"/>
  <c r="AG53" i="5" s="1"/>
  <c r="AF53" i="5"/>
  <c r="AF49" i="5"/>
  <c r="AF48" i="5"/>
  <c r="AF46" i="5"/>
  <c r="AF42" i="5"/>
  <c r="AF43" i="5"/>
  <c r="AF44" i="5"/>
  <c r="AF41" i="5"/>
  <c r="AF37" i="5"/>
  <c r="AF36" i="5"/>
  <c r="AF35" i="5"/>
  <c r="AF32" i="5"/>
  <c r="AF31" i="5"/>
  <c r="AF30" i="5"/>
  <c r="AF29" i="5"/>
  <c r="AF26" i="5"/>
  <c r="Z24" i="5" s="1"/>
  <c r="AF25" i="5"/>
  <c r="AF24" i="5"/>
  <c r="AF19" i="5"/>
  <c r="AF21" i="5"/>
  <c r="Z19" i="5" s="1"/>
  <c r="AF16" i="5"/>
  <c r="AF15" i="5"/>
  <c r="AF14" i="5"/>
  <c r="AF13" i="5"/>
  <c r="AF7" i="5"/>
  <c r="AF10" i="5"/>
  <c r="AF9" i="5"/>
  <c r="AF8" i="5"/>
  <c r="AE45" i="3"/>
  <c r="Y41" i="3" s="1"/>
  <c r="AE31" i="3"/>
  <c r="Y26" i="3" s="1"/>
  <c r="AE29" i="3"/>
  <c r="AE30" i="3"/>
  <c r="AE28" i="3"/>
  <c r="AH95" i="1"/>
  <c r="AH96" i="1"/>
  <c r="AH97" i="1"/>
  <c r="AH98" i="1"/>
  <c r="AH99" i="1"/>
  <c r="AH101" i="1"/>
  <c r="AH102" i="1"/>
  <c r="AH103" i="1"/>
  <c r="AH104" i="1"/>
  <c r="AH48" i="1"/>
  <c r="AB45" i="1" s="1"/>
  <c r="AI13" i="1"/>
  <c r="AI16" i="1"/>
  <c r="AH30" i="1"/>
  <c r="AI30" i="1" s="1"/>
  <c r="AH31" i="1"/>
  <c r="AI31" i="1" s="1"/>
  <c r="AH32" i="1"/>
  <c r="AH33" i="1"/>
  <c r="AI33" i="1" s="1"/>
  <c r="AH34" i="1"/>
  <c r="AI34" i="1" s="1"/>
  <c r="AH35" i="1"/>
  <c r="AI35" i="1" s="1"/>
  <c r="AH36" i="1"/>
  <c r="AI36" i="1" s="1"/>
  <c r="AH37" i="1"/>
  <c r="AI37" i="1" s="1"/>
  <c r="AH38" i="1"/>
  <c r="AI38" i="1" s="1"/>
  <c r="AI39" i="1"/>
  <c r="B5" i="11"/>
  <c r="AG10" i="7"/>
  <c r="AG8" i="7"/>
  <c r="AG7" i="7"/>
  <c r="AH52" i="1"/>
  <c r="AE22" i="3"/>
  <c r="AF22" i="3" s="1"/>
  <c r="AE23" i="3"/>
  <c r="AF23" i="3" s="1"/>
  <c r="AE24" i="3"/>
  <c r="Y19" i="3" s="1"/>
  <c r="AE21" i="3"/>
  <c r="AF21" i="3" s="1"/>
  <c r="AH47" i="1"/>
  <c r="AH46" i="1"/>
  <c r="AH45" i="1"/>
  <c r="AH25" i="1"/>
  <c r="AH26" i="1"/>
  <c r="AI26" i="1" s="1"/>
  <c r="AH27" i="1"/>
  <c r="AI27" i="1" s="1"/>
  <c r="AH28" i="1"/>
  <c r="AI28" i="1" s="1"/>
  <c r="AH29" i="1"/>
  <c r="AI29" i="1" s="1"/>
  <c r="AE8" i="3"/>
  <c r="AF8" i="3" s="1"/>
  <c r="AE9" i="3"/>
  <c r="AF9" i="3" s="1"/>
  <c r="AE10" i="3"/>
  <c r="AF10" i="3" s="1"/>
  <c r="AE11" i="3"/>
  <c r="AF11" i="3" s="1"/>
  <c r="AE12" i="3"/>
  <c r="AF12" i="3" s="1"/>
  <c r="AE14" i="3"/>
  <c r="AF14" i="3" s="1"/>
  <c r="AF15" i="3"/>
  <c r="AE7" i="3"/>
  <c r="AF7" i="3" s="1"/>
  <c r="AI119" i="1"/>
  <c r="AI120" i="1"/>
  <c r="AH121" i="1"/>
  <c r="AH122" i="1"/>
  <c r="AI122" i="1" s="1"/>
  <c r="AH123" i="1"/>
  <c r="AI123" i="1" s="1"/>
  <c r="AH124" i="1"/>
  <c r="AI124" i="1" s="1"/>
  <c r="AH125" i="1"/>
  <c r="AI125" i="1" s="1"/>
  <c r="AH126" i="1"/>
  <c r="AI126" i="1" s="1"/>
  <c r="AH127" i="1"/>
  <c r="AI127" i="1" s="1"/>
  <c r="AI128" i="1"/>
  <c r="AW4" i="20" l="1"/>
  <c r="AW5" i="20" s="1"/>
  <c r="AH42" i="14"/>
  <c r="BJ4" i="20"/>
  <c r="BJ5" i="20" s="1"/>
  <c r="AG48" i="14"/>
  <c r="AU4" i="20"/>
  <c r="AU5" i="20" s="1"/>
  <c r="K4" i="20"/>
  <c r="K5" i="20" s="1"/>
  <c r="AN4" i="20"/>
  <c r="AN5" i="20" s="1"/>
  <c r="AF4" i="20"/>
  <c r="AF5" i="20" s="1"/>
  <c r="AE4" i="20"/>
  <c r="AE5" i="20" s="1"/>
  <c r="X4" i="20"/>
  <c r="X5" i="20" s="1"/>
  <c r="AF18" i="3"/>
  <c r="L4" i="20" s="1"/>
  <c r="L5" i="20" s="1"/>
  <c r="AG7" i="3"/>
  <c r="AG21" i="3"/>
  <c r="AH72" i="7"/>
  <c r="AA72" i="7" a="1"/>
  <c r="AA72" i="7" s="1"/>
  <c r="AA51" i="7" a="1"/>
  <c r="AA51" i="7" s="1"/>
  <c r="AG35" i="5"/>
  <c r="U4" i="20" s="1"/>
  <c r="U5" i="20" s="1"/>
  <c r="AQ19" i="6"/>
  <c r="AA42" i="7" a="1"/>
  <c r="AA42" i="7" s="1"/>
  <c r="AA110" i="7"/>
  <c r="AH112" i="7"/>
  <c r="AE38" i="3"/>
  <c r="AF28" i="3"/>
  <c r="AH68" i="7"/>
  <c r="AA66" i="7" a="1"/>
  <c r="AA66" i="7" s="1"/>
  <c r="Y14" i="16"/>
  <c r="X16" i="16"/>
  <c r="AF24" i="14"/>
  <c r="AH75" i="7"/>
  <c r="AY4" i="20" s="1"/>
  <c r="AY5" i="20" s="1"/>
  <c r="AH52" i="7"/>
  <c r="AH54" i="7"/>
  <c r="AH110" i="1"/>
  <c r="AH51" i="7"/>
  <c r="AE15" i="9"/>
  <c r="Z13" i="5"/>
  <c r="Z35" i="5"/>
  <c r="AG7" i="5"/>
  <c r="P4" i="20" s="1"/>
  <c r="P5" i="20" s="1"/>
  <c r="Y6" i="16"/>
  <c r="Z46" i="5"/>
  <c r="Z29" i="5"/>
  <c r="Z7" i="5"/>
  <c r="AI121" i="1"/>
  <c r="AH130" i="1"/>
  <c r="AI32" i="1"/>
  <c r="AH42" i="1"/>
  <c r="AI52" i="1"/>
  <c r="E4" i="20" s="1"/>
  <c r="E5" i="20" s="1"/>
  <c r="AH92" i="1"/>
  <c r="AG23" i="7"/>
  <c r="AA7" i="7"/>
  <c r="F21" i="17"/>
  <c r="I21" i="17" s="1"/>
  <c r="AH106" i="7"/>
  <c r="AG109" i="7"/>
  <c r="AG119" i="7"/>
  <c r="AG86" i="7"/>
  <c r="AQ59" i="6" a="1"/>
  <c r="AQ59" i="6" s="1"/>
  <c r="AP82" i="6"/>
  <c r="AF123" i="5"/>
  <c r="AF77" i="5"/>
  <c r="AI14" i="1"/>
  <c r="Z86" i="5"/>
  <c r="Z41" i="5"/>
  <c r="AG41" i="3"/>
  <c r="AG93" i="5"/>
  <c r="AC4" i="20" s="1"/>
  <c r="AC5" i="20" s="1"/>
  <c r="AG86" i="5"/>
  <c r="AB4" i="20" s="1"/>
  <c r="AB5" i="20" s="1"/>
  <c r="AH80" i="7"/>
  <c r="AZ4" i="20" s="1"/>
  <c r="AZ5" i="20" s="1"/>
  <c r="AA80" i="7" a="1"/>
  <c r="AA80" i="7" s="1"/>
  <c r="AH74" i="7"/>
  <c r="AH66" i="7"/>
  <c r="AH59" i="7"/>
  <c r="AA59" i="7" a="1"/>
  <c r="AA59" i="7" s="1"/>
  <c r="AH42" i="7"/>
  <c r="AH34" i="7"/>
  <c r="AT4" i="20" s="1"/>
  <c r="AT5" i="20" s="1"/>
  <c r="AA34" i="7" a="1"/>
  <c r="AA34" i="7" s="1"/>
  <c r="AP35" i="6"/>
  <c r="AP26" i="6"/>
  <c r="AI12" i="1"/>
  <c r="B4" i="20" s="1"/>
  <c r="B5" i="20" s="1"/>
  <c r="AB113" i="1"/>
  <c r="AI25" i="1"/>
  <c r="AH7" i="7"/>
  <c r="AG46" i="5"/>
  <c r="W4" i="20" s="1"/>
  <c r="W5" i="20" s="1"/>
  <c r="AI113" i="1"/>
  <c r="J4" i="20" s="1"/>
  <c r="J5" i="20" s="1"/>
  <c r="AG29" i="5"/>
  <c r="T4" i="20" s="1"/>
  <c r="T5" i="20" s="1"/>
  <c r="AG13" i="5"/>
  <c r="Q4" i="20" s="1"/>
  <c r="Q5" i="20" s="1"/>
  <c r="AI45" i="1"/>
  <c r="D4" i="20" s="1"/>
  <c r="D5" i="20" s="1"/>
  <c r="AH115" i="7"/>
  <c r="AF48" i="14"/>
  <c r="AF39" i="14"/>
  <c r="AF31" i="14"/>
  <c r="AG27" i="14"/>
  <c r="AG13" i="14"/>
  <c r="BF4" i="20" s="1"/>
  <c r="BF5" i="20" s="1"/>
  <c r="AG7" i="14"/>
  <c r="AG34" i="14"/>
  <c r="AG58" i="5"/>
  <c r="Y4" i="20" s="1"/>
  <c r="Y5" i="20" s="1"/>
  <c r="AG41" i="5"/>
  <c r="V4" i="20" s="1"/>
  <c r="V5" i="20" s="1"/>
  <c r="AG24" i="5"/>
  <c r="S4" i="20" s="1"/>
  <c r="S5" i="20" s="1"/>
  <c r="AG19" i="5"/>
  <c r="R4" i="20" s="1"/>
  <c r="R5" i="20" s="1"/>
  <c r="AE50" i="3"/>
  <c r="AI101" i="1"/>
  <c r="H4" i="20" s="1"/>
  <c r="H5" i="20" s="1"/>
  <c r="AI95" i="1"/>
  <c r="G4" i="20" s="1"/>
  <c r="G5" i="20" s="1"/>
  <c r="AE25" i="3"/>
  <c r="AE18" i="3"/>
  <c r="AX4" i="20" l="1"/>
  <c r="AX5" i="20" s="1"/>
  <c r="BI4" i="20"/>
  <c r="BI5" i="20" s="1"/>
  <c r="AH34" i="14"/>
  <c r="AH27" i="14"/>
  <c r="BH4" i="20"/>
  <c r="BH5" i="20" s="1"/>
  <c r="BE4" i="20"/>
  <c r="BE5" i="20" s="1"/>
  <c r="AH7" i="14"/>
  <c r="AV4" i="20"/>
  <c r="AV5" i="20" s="1"/>
  <c r="AH23" i="7"/>
  <c r="AS4" i="20"/>
  <c r="AS5" i="20" s="1"/>
  <c r="AI7" i="7"/>
  <c r="C4" i="20"/>
  <c r="C5" i="20" s="1"/>
  <c r="N4" i="20"/>
  <c r="N5" i="20" s="1"/>
  <c r="AG28" i="3"/>
  <c r="AG123" i="5"/>
  <c r="AH80" i="5"/>
  <c r="AH132" i="1"/>
  <c r="AB98" i="6"/>
  <c r="R78" i="9" s="1"/>
  <c r="AI112" i="7"/>
  <c r="AG77" i="5"/>
  <c r="Z14" i="16"/>
  <c r="Y16" i="16"/>
  <c r="AG24" i="14"/>
  <c r="C12" i="17"/>
  <c r="B12" i="18" s="1"/>
  <c r="D12" i="18" s="1"/>
  <c r="AI110" i="1"/>
  <c r="AJ95" i="1"/>
  <c r="AE12" i="9"/>
  <c r="J21" i="17"/>
  <c r="G21" i="17"/>
  <c r="Z6" i="16"/>
  <c r="AI42" i="1"/>
  <c r="AJ9" i="1"/>
  <c r="AJ45" i="1"/>
  <c r="AI92" i="1"/>
  <c r="AJ113" i="1"/>
  <c r="AI130" i="1"/>
  <c r="AH109" i="7"/>
  <c r="AE17" i="9"/>
  <c r="C34" i="17"/>
  <c r="B34" i="18" s="1"/>
  <c r="D34" i="18" s="1"/>
  <c r="C33" i="17"/>
  <c r="F33" i="17" s="1"/>
  <c r="K33" i="17" s="1"/>
  <c r="AI89" i="7"/>
  <c r="AI26" i="7"/>
  <c r="C20" i="17"/>
  <c r="F20" i="17" s="1"/>
  <c r="C22" i="17"/>
  <c r="AH7" i="5"/>
  <c r="AE14" i="9"/>
  <c r="AE16" i="9"/>
  <c r="AE13" i="9"/>
  <c r="AH86" i="7"/>
  <c r="C19" i="17"/>
  <c r="B19" i="18" s="1"/>
  <c r="D19" i="18" s="1"/>
  <c r="C9" i="17"/>
  <c r="F9" i="17" s="1"/>
  <c r="C35" i="17"/>
  <c r="B35" i="18" s="1"/>
  <c r="D35" i="18" s="1"/>
  <c r="AH119" i="7"/>
  <c r="AF25" i="3"/>
  <c r="M4" i="20" s="1"/>
  <c r="M5" i="20" s="1"/>
  <c r="AF50" i="3"/>
  <c r="AF38" i="3"/>
  <c r="AG39" i="14"/>
  <c r="AG31" i="14"/>
  <c r="T120" i="7" l="1"/>
  <c r="R95" i="9" s="1"/>
  <c r="S124" i="5"/>
  <c r="R61" i="9" s="1"/>
  <c r="R52" i="3"/>
  <c r="R44" i="9" s="1"/>
  <c r="AI132" i="1"/>
  <c r="AJ132" i="1"/>
  <c r="U131" i="1"/>
  <c r="R27" i="9" s="1"/>
  <c r="F12" i="17"/>
  <c r="G12" i="17" s="1"/>
  <c r="C29" i="17"/>
  <c r="B29" i="18" s="1"/>
  <c r="D29" i="18" s="1"/>
  <c r="AA14" i="16"/>
  <c r="Z16" i="16"/>
  <c r="F34" i="17"/>
  <c r="K34" i="17" s="1"/>
  <c r="C11" i="17"/>
  <c r="C6" i="17"/>
  <c r="B6" i="18" s="1"/>
  <c r="D6" i="18" s="1"/>
  <c r="B33" i="18"/>
  <c r="D33" i="18" s="1"/>
  <c r="B20" i="18"/>
  <c r="D20" i="18" s="1"/>
  <c r="AA6" i="16"/>
  <c r="C10" i="17"/>
  <c r="S49" i="14"/>
  <c r="R112" i="9" s="1"/>
  <c r="C28" i="17"/>
  <c r="F28" i="17" s="1"/>
  <c r="L28" i="17" s="1"/>
  <c r="C27" i="17"/>
  <c r="F27" i="17" s="1"/>
  <c r="I27" i="17" s="1"/>
  <c r="F22" i="17"/>
  <c r="B22" i="18"/>
  <c r="D22" i="18" s="1"/>
  <c r="C16" i="17"/>
  <c r="B16" i="18" s="1"/>
  <c r="D16" i="18" s="1"/>
  <c r="C5" i="17"/>
  <c r="F5" i="17" s="1"/>
  <c r="C4" i="17"/>
  <c r="B4" i="18" s="1"/>
  <c r="D4" i="18" s="1"/>
  <c r="C3" i="17"/>
  <c r="F3" i="17" s="1"/>
  <c r="K3" i="17" s="1"/>
  <c r="L20" i="17"/>
  <c r="K20" i="17"/>
  <c r="L9" i="17"/>
  <c r="K9" i="17"/>
  <c r="I33" i="17"/>
  <c r="L33" i="17"/>
  <c r="G9" i="17"/>
  <c r="J9" i="17"/>
  <c r="I9" i="17"/>
  <c r="J20" i="17"/>
  <c r="I20" i="17"/>
  <c r="F35" i="17"/>
  <c r="B9" i="18"/>
  <c r="D9" i="18" s="1"/>
  <c r="C26" i="17"/>
  <c r="F26" i="17" s="1"/>
  <c r="K26" i="17" s="1"/>
  <c r="G20" i="17"/>
  <c r="C24" i="17"/>
  <c r="B24" i="18" s="1"/>
  <c r="H21" i="18" s="1"/>
  <c r="F19" i="17"/>
  <c r="C15" i="17"/>
  <c r="C32" i="17"/>
  <c r="B32" i="18" s="1"/>
  <c r="D32" i="18" s="1"/>
  <c r="G33" i="17"/>
  <c r="J33" i="17"/>
  <c r="J34" i="17" l="1"/>
  <c r="G34" i="17"/>
  <c r="F29" i="17"/>
  <c r="J12" i="17"/>
  <c r="AB14" i="16"/>
  <c r="AA16" i="16"/>
  <c r="L34" i="17"/>
  <c r="I34" i="17"/>
  <c r="F11" i="17"/>
  <c r="B11" i="18"/>
  <c r="D11" i="18" s="1"/>
  <c r="C13" i="17"/>
  <c r="B13" i="18" s="1"/>
  <c r="H17" i="18" s="1"/>
  <c r="F6" i="17"/>
  <c r="K6" i="17" s="1"/>
  <c r="B28" i="18"/>
  <c r="D28" i="18" s="1"/>
  <c r="AB6" i="16"/>
  <c r="F10" i="17"/>
  <c r="B10" i="18"/>
  <c r="D10" i="18" s="1"/>
  <c r="B5" i="18"/>
  <c r="D5" i="18" s="1"/>
  <c r="F4" i="17"/>
  <c r="K4" i="17" s="1"/>
  <c r="H28" i="17"/>
  <c r="J28" i="17"/>
  <c r="G28" i="17"/>
  <c r="K28" i="17"/>
  <c r="I28" i="17"/>
  <c r="J27" i="17"/>
  <c r="L27" i="17"/>
  <c r="G27" i="17"/>
  <c r="K27" i="17"/>
  <c r="H27" i="17"/>
  <c r="B27" i="18"/>
  <c r="D27" i="18" s="1"/>
  <c r="I22" i="17"/>
  <c r="K22" i="17"/>
  <c r="H22" i="17"/>
  <c r="J22" i="17"/>
  <c r="L22" i="17"/>
  <c r="G22" i="17"/>
  <c r="F16" i="17"/>
  <c r="K16" i="17" s="1"/>
  <c r="B3" i="18"/>
  <c r="D3" i="18" s="1"/>
  <c r="C7" i="17"/>
  <c r="B7" i="18" s="1"/>
  <c r="H15" i="18" s="1"/>
  <c r="L19" i="17"/>
  <c r="K19" i="17"/>
  <c r="L5" i="17"/>
  <c r="K5" i="17"/>
  <c r="L35" i="17"/>
  <c r="K35" i="17"/>
  <c r="L29" i="17"/>
  <c r="K29" i="17"/>
  <c r="I3" i="17"/>
  <c r="J3" i="17"/>
  <c r="L3" i="17"/>
  <c r="I26" i="17"/>
  <c r="L26" i="17"/>
  <c r="G5" i="17"/>
  <c r="I5" i="17"/>
  <c r="J19" i="17"/>
  <c r="I19" i="17"/>
  <c r="G35" i="17"/>
  <c r="I35" i="17"/>
  <c r="J29" i="17"/>
  <c r="I29" i="17"/>
  <c r="H22" i="18"/>
  <c r="AF5" i="9"/>
  <c r="AI5" i="9" s="1"/>
  <c r="H3" i="17"/>
  <c r="G3" i="17"/>
  <c r="J35" i="17"/>
  <c r="H19" i="17"/>
  <c r="J26" i="17"/>
  <c r="G26" i="17"/>
  <c r="H26" i="17"/>
  <c r="C30" i="17"/>
  <c r="B30" i="18" s="1"/>
  <c r="H23" i="18" s="1"/>
  <c r="AF6" i="9" s="1"/>
  <c r="AI6" i="9" s="1"/>
  <c r="B26" i="18"/>
  <c r="D26" i="18" s="1"/>
  <c r="F32" i="17"/>
  <c r="J3" i="18"/>
  <c r="C36" i="17"/>
  <c r="B36" i="18" s="1"/>
  <c r="H25" i="18" s="1"/>
  <c r="AF7" i="9" s="1"/>
  <c r="AI7" i="9" s="1"/>
  <c r="G29" i="17"/>
  <c r="G19" i="17"/>
  <c r="F15" i="17"/>
  <c r="B15" i="18"/>
  <c r="D15" i="18" s="1"/>
  <c r="C17" i="17"/>
  <c r="B17" i="18" s="1"/>
  <c r="H19" i="18" s="1"/>
  <c r="J5" i="17"/>
  <c r="H18" i="18" l="1"/>
  <c r="H3" i="18"/>
  <c r="H16" i="18"/>
  <c r="G3" i="18"/>
  <c r="L6" i="17"/>
  <c r="AC14" i="16"/>
  <c r="AB16" i="16"/>
  <c r="AF3" i="9"/>
  <c r="AI3" i="9" s="1"/>
  <c r="I11" i="17"/>
  <c r="L11" i="17"/>
  <c r="G11" i="17"/>
  <c r="K11" i="17"/>
  <c r="J11" i="17"/>
  <c r="H11" i="17"/>
  <c r="G6" i="17"/>
  <c r="J6" i="17"/>
  <c r="AC6" i="16"/>
  <c r="L10" i="17"/>
  <c r="I10" i="17"/>
  <c r="K10" i="17"/>
  <c r="J10" i="17"/>
  <c r="G10" i="17"/>
  <c r="H10" i="17"/>
  <c r="L4" i="17"/>
  <c r="J4" i="17"/>
  <c r="I4" i="17"/>
  <c r="I7" i="17" s="1"/>
  <c r="B30" i="9" s="1"/>
  <c r="G4" i="17"/>
  <c r="G7" i="17" s="1"/>
  <c r="C20" i="9" s="1"/>
  <c r="H4" i="17"/>
  <c r="H7" i="17" s="1"/>
  <c r="J20" i="9" s="1"/>
  <c r="H30" i="17"/>
  <c r="J24" i="9" s="1"/>
  <c r="I24" i="17"/>
  <c r="B81" i="9" s="1"/>
  <c r="K24" i="17"/>
  <c r="C15" i="9" s="1"/>
  <c r="L24" i="17"/>
  <c r="J15" i="9" s="1"/>
  <c r="G24" i="17"/>
  <c r="C23" i="9" s="1"/>
  <c r="H24" i="17"/>
  <c r="J23" i="9" s="1"/>
  <c r="J24" i="17"/>
  <c r="J81" i="9" s="1"/>
  <c r="G16" i="17"/>
  <c r="L16" i="17"/>
  <c r="I16" i="17"/>
  <c r="H16" i="17"/>
  <c r="J16" i="17"/>
  <c r="G30" i="17"/>
  <c r="C24" i="9" s="1"/>
  <c r="L30" i="17"/>
  <c r="J16" i="9" s="1"/>
  <c r="K30" i="17"/>
  <c r="C16" i="9" s="1"/>
  <c r="L15" i="17"/>
  <c r="K15" i="17"/>
  <c r="L32" i="17"/>
  <c r="L36" i="17" s="1"/>
  <c r="J17" i="9" s="1"/>
  <c r="K32" i="17"/>
  <c r="K7" i="17"/>
  <c r="C12" i="9" s="1"/>
  <c r="I30" i="17"/>
  <c r="B98" i="9" s="1"/>
  <c r="I15" i="17"/>
  <c r="J15" i="17"/>
  <c r="H32" i="17"/>
  <c r="H36" i="17" s="1"/>
  <c r="J25" i="9" s="1"/>
  <c r="I32" i="17"/>
  <c r="I36" i="17" s="1"/>
  <c r="B115" i="9" s="1"/>
  <c r="J30" i="17"/>
  <c r="J98" i="9" s="1"/>
  <c r="H20" i="18"/>
  <c r="AF4" i="9"/>
  <c r="AI4" i="9" s="1"/>
  <c r="AF2" i="9"/>
  <c r="AI2" i="9" s="1"/>
  <c r="H24" i="18"/>
  <c r="G27" i="18"/>
  <c r="J32" i="17"/>
  <c r="J36" i="17" s="1"/>
  <c r="J115" i="9" s="1"/>
  <c r="G32" i="17"/>
  <c r="G36" i="17" s="1"/>
  <c r="C25" i="9" s="1"/>
  <c r="G9" i="18"/>
  <c r="H26" i="18"/>
  <c r="K3" i="18"/>
  <c r="I3" i="18"/>
  <c r="G15" i="17"/>
  <c r="H15" i="17"/>
  <c r="J64" i="9" l="1"/>
  <c r="L7" i="17"/>
  <c r="J12" i="9" s="1"/>
  <c r="J13" i="17"/>
  <c r="J47" i="9" s="1"/>
  <c r="G13" i="17"/>
  <c r="C21" i="9" s="1"/>
  <c r="AD14" i="16"/>
  <c r="AC16" i="16"/>
  <c r="J17" i="17"/>
  <c r="K13" i="17"/>
  <c r="C13" i="9" s="1"/>
  <c r="H13" i="17"/>
  <c r="J21" i="9" s="1"/>
  <c r="I13" i="17"/>
  <c r="B47" i="9" s="1"/>
  <c r="L13" i="17"/>
  <c r="J13" i="9" s="1"/>
  <c r="J7" i="17"/>
  <c r="J30" i="9" s="1"/>
  <c r="AD6" i="16"/>
  <c r="H17" i="17"/>
  <c r="J22" i="9" s="1"/>
  <c r="I17" i="17"/>
  <c r="B64" i="9" s="1"/>
  <c r="G17" i="17"/>
  <c r="C22" i="9" s="1"/>
  <c r="L17" i="17"/>
  <c r="J14" i="9" s="1"/>
  <c r="G39" i="17"/>
  <c r="K17" i="17"/>
  <c r="C14" i="9" s="1"/>
  <c r="AF8" i="9"/>
  <c r="AI8" i="9" s="1"/>
  <c r="H28" i="18"/>
  <c r="H27" i="18"/>
  <c r="K36" i="17"/>
  <c r="C17" i="9" s="1"/>
  <c r="H39" i="17"/>
  <c r="AE14" i="16" l="1"/>
  <c r="AD16" i="16"/>
  <c r="AE6" i="16"/>
  <c r="L39" i="17"/>
  <c r="K39" i="17"/>
  <c r="AF14" i="16" l="1"/>
  <c r="AE16" i="16"/>
  <c r="AF6" i="16"/>
  <c r="AG14" i="16" l="1"/>
  <c r="AF16" i="16"/>
  <c r="AG6" i="16"/>
  <c r="AH14" i="16" l="1"/>
  <c r="AG16" i="16"/>
  <c r="AH6" i="16"/>
  <c r="AI14" i="16" l="1"/>
  <c r="AH16" i="16"/>
  <c r="AI6" i="16"/>
  <c r="AJ14" i="16" l="1"/>
  <c r="AI16" i="16"/>
  <c r="AJ6" i="16"/>
  <c r="AK14" i="16" l="1"/>
  <c r="AJ16" i="16"/>
  <c r="AK6" i="16"/>
  <c r="AL14" i="16" l="1"/>
  <c r="AK16" i="16"/>
  <c r="AL6" i="16"/>
  <c r="AM14" i="16" l="1"/>
  <c r="AL16" i="16"/>
  <c r="AM6" i="16"/>
  <c r="AN14" i="16" l="1"/>
  <c r="AM16" i="16"/>
  <c r="AM5" i="16" s="1"/>
  <c r="AN6" i="16"/>
  <c r="Q5" i="16"/>
  <c r="Y5" i="16"/>
  <c r="T5" i="16"/>
  <c r="P5" i="16"/>
  <c r="X5" i="16"/>
  <c r="AD5" i="16"/>
  <c r="AI5" i="16"/>
  <c r="M5" i="16"/>
  <c r="AG5" i="16"/>
  <c r="AL5" i="16"/>
  <c r="V5" i="16"/>
  <c r="AJ5" i="16"/>
  <c r="S5" i="16"/>
  <c r="AC5" i="16"/>
  <c r="AA5" i="16"/>
  <c r="AH5" i="16"/>
  <c r="W5" i="16"/>
  <c r="AF5" i="16"/>
  <c r="N5" i="16"/>
  <c r="Z5" i="16"/>
  <c r="R5" i="16"/>
  <c r="AE5" i="16"/>
  <c r="U5" i="16"/>
  <c r="AB5" i="16"/>
  <c r="AK5" i="16"/>
  <c r="O5" i="16"/>
  <c r="AO14" i="16" l="1"/>
  <c r="AN16" i="16"/>
  <c r="AN5" i="16" s="1"/>
  <c r="AO6" i="16"/>
  <c r="AP14" i="16" l="1"/>
  <c r="AO16" i="16"/>
  <c r="AO5" i="16" s="1"/>
  <c r="AP6" i="16"/>
  <c r="AQ14" i="16" l="1"/>
  <c r="AP16" i="16"/>
  <c r="AP5" i="16" s="1"/>
  <c r="AQ6" i="16"/>
  <c r="AR14" i="16" l="1"/>
  <c r="AQ16" i="16"/>
  <c r="AQ5" i="16" s="1"/>
  <c r="AR6" i="16"/>
  <c r="AS14" i="16" l="1"/>
  <c r="AR16" i="16"/>
  <c r="AR5" i="16" s="1"/>
  <c r="AS6" i="16"/>
  <c r="AT14" i="16" l="1"/>
  <c r="AS16" i="16"/>
  <c r="AS5" i="16" s="1"/>
  <c r="AT6" i="16"/>
  <c r="AT16" i="16" l="1"/>
  <c r="AT5" i="16" s="1"/>
  <c r="C20" i="16" s="1" a="1"/>
  <c r="C2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Nandy, Paulomi</author>
  </authors>
  <commentList>
    <comment ref="E15" authorId="0" shapeId="0" xr:uid="{40128482-543D-4514-94E8-5775C88F1800}">
      <text>
        <r>
          <rPr>
            <sz val="14"/>
            <color indexed="81"/>
            <rFont val="Tahoma"/>
            <family val="2"/>
          </rPr>
          <t>Start year &gt;=2012</t>
        </r>
      </text>
    </comment>
    <comment ref="G15" authorId="0" shapeId="0" xr:uid="{D4390159-D55F-4CA3-807F-246DC134128E}">
      <text>
        <r>
          <rPr>
            <sz val="14"/>
            <color indexed="81"/>
            <rFont val="Tahoma"/>
            <family val="2"/>
          </rPr>
          <t xml:space="preserve">Target year &lt;=2050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Kansara, Harshal Jayesh</author>
    <author>Nandy, Paulomi</author>
  </authors>
  <commentList>
    <comment ref="P8" authorId="0" shapeId="0" xr:uid="{6ED3CBD3-B28D-4591-AD36-1EDB7065B427}">
      <text>
        <r>
          <rPr>
            <b/>
            <sz val="11"/>
            <color indexed="81"/>
            <rFont val="Arial"/>
            <family val="2"/>
          </rPr>
          <t>The person who completes the task or makes the decision.</t>
        </r>
      </text>
    </comment>
    <comment ref="Q8" authorId="0" shapeId="0" xr:uid="{EBFB1638-C793-4E10-A42D-DF870408B89C}">
      <text>
        <r>
          <rPr>
            <b/>
            <sz val="12"/>
            <color indexed="81"/>
            <rFont val="Arial"/>
            <family val="2"/>
          </rPr>
          <t>The person who owns the task or signs off on it.</t>
        </r>
      </text>
    </comment>
    <comment ref="R8" authorId="0" shapeId="0" xr:uid="{AC0A4A31-CAB8-4170-BFC3-65D7384F6807}">
      <text>
        <r>
          <rPr>
            <b/>
            <sz val="12"/>
            <color theme="1"/>
            <rFont val="Arial"/>
            <family val="2"/>
          </rPr>
          <t>The person who provides input before the work can be done.</t>
        </r>
      </text>
    </comment>
    <comment ref="S8" authorId="0" shapeId="0" xr:uid="{B086899C-9084-49C2-BD5D-2345A3598354}">
      <text>
        <r>
          <rPr>
            <b/>
            <sz val="12"/>
            <color indexed="81"/>
            <rFont val="Arial"/>
            <family val="2"/>
          </rPr>
          <t>The person who needs to be kept updated on the progress or decision.</t>
        </r>
      </text>
    </comment>
    <comment ref="AM96" authorId="1" shapeId="0" xr:uid="{709BAEE3-8DEA-45A6-BA60-2150F4A97CCE}">
      <text>
        <r>
          <rPr>
            <sz val="14"/>
            <color indexed="81"/>
            <rFont val="Tahoma"/>
            <family val="2"/>
          </rPr>
          <t>Start year &gt;=2012</t>
        </r>
      </text>
    </comment>
    <comment ref="AO96" authorId="1" shapeId="0" xr:uid="{B14CEEA2-9269-4D4E-9599-83A9020D73FF}">
      <text>
        <r>
          <rPr>
            <sz val="14"/>
            <color indexed="81"/>
            <rFont val="Tahoma"/>
            <family val="2"/>
          </rPr>
          <t xml:space="preserve">Target year &lt;=2050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Kansara, Harshal Jayesh</author>
  </authors>
  <commentList>
    <comment ref="P22" authorId="0" shapeId="0" xr:uid="{140A0C9B-3AC6-47FE-A96F-F069CB177E72}">
      <text>
        <r>
          <rPr>
            <sz val="16"/>
            <color indexed="81"/>
            <rFont val="Arial"/>
            <family val="2"/>
          </rPr>
          <t>If text in cell turns red, it means the total entered GHG reduction exceeds your set goal.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Nandy, Paulomi</author>
  </authors>
  <commentList>
    <comment ref="A77" authorId="0" shapeId="0" xr:uid="{599ADC6B-B10E-4900-B701-A750A40B5822}">
      <text>
        <r>
          <rPr>
            <b/>
            <sz val="9"/>
            <color indexed="81"/>
            <rFont val="Tahoma"/>
            <family val="2"/>
          </rPr>
          <t>Nandy, Paulomi:</t>
        </r>
        <r>
          <rPr>
            <sz val="9"/>
            <color indexed="81"/>
            <rFont val="Tahoma"/>
            <family val="2"/>
          </rPr>
          <t xml:space="preserve">
Task level feedback</t>
        </r>
      </text>
    </comment>
    <comment ref="A80" authorId="0" shapeId="0" xr:uid="{B6FA9292-4DD4-46A5-96B4-32453440444D}">
      <text>
        <r>
          <rPr>
            <b/>
            <sz val="9"/>
            <color indexed="81"/>
            <rFont val="Tahoma"/>
            <family val="2"/>
          </rPr>
          <t>Nandy, Paulomi:</t>
        </r>
        <r>
          <rPr>
            <sz val="9"/>
            <color indexed="81"/>
            <rFont val="Tahoma"/>
            <family val="2"/>
          </rPr>
          <t xml:space="preserve">
Maybe do a milestone level response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<sst xmlns="http://schemas.openxmlformats.org/spreadsheetml/2006/main" count="1718" uniqueCount="1233">
  <si>
    <t>Option 1</t>
  </si>
  <si>
    <t>Select all that apply (multiple answers allowed)</t>
  </si>
  <si>
    <t xml:space="preserve">Option 1 </t>
  </si>
  <si>
    <t>Option 2</t>
  </si>
  <si>
    <t>Option 3</t>
  </si>
  <si>
    <t>Option 4</t>
  </si>
  <si>
    <t>Option 5</t>
  </si>
  <si>
    <t xml:space="preserve">Select any one (only one choice permitted) </t>
  </si>
  <si>
    <t xml:space="preserve">Milestone 1: Establish Greenhouse Gas Inventory and Scope of Work </t>
  </si>
  <si>
    <t>Description: Engage stakeholders and align the inventory management plan, emissions reduction targets, and ERP scope of work</t>
  </si>
  <si>
    <t>Task 1</t>
  </si>
  <si>
    <t>SCORE (Final)</t>
  </si>
  <si>
    <t>Executive Leadership</t>
  </si>
  <si>
    <t>Financing team</t>
  </si>
  <si>
    <t>Project Management</t>
  </si>
  <si>
    <t>Communications</t>
  </si>
  <si>
    <t xml:space="preserve">Legal </t>
  </si>
  <si>
    <t>Research and development</t>
  </si>
  <si>
    <t>Task 2</t>
  </si>
  <si>
    <t>Operational Control</t>
  </si>
  <si>
    <t>Financial Control</t>
  </si>
  <si>
    <t>Equity Share</t>
  </si>
  <si>
    <t>i</t>
  </si>
  <si>
    <t>Yes</t>
  </si>
  <si>
    <t>ii</t>
  </si>
  <si>
    <t>iii</t>
  </si>
  <si>
    <t>iv</t>
  </si>
  <si>
    <t>v</t>
  </si>
  <si>
    <t>vi</t>
  </si>
  <si>
    <t>Task 3</t>
  </si>
  <si>
    <t>Task 4</t>
  </si>
  <si>
    <t>Using cost-benefit analysis, with some qualitative consideration to emission reduction potential</t>
  </si>
  <si>
    <t>Multi-criteria analysis including ROI, emissions impact, and technical feasibility</t>
  </si>
  <si>
    <t>Other sustainability metrics (e.g. water, waste reduction)</t>
  </si>
  <si>
    <t xml:space="preserve">Workforce requirements </t>
  </si>
  <si>
    <t xml:space="preserve">Availability of financing </t>
  </si>
  <si>
    <t>Technology availability</t>
  </si>
  <si>
    <t xml:space="preserve">Safety and Reliability </t>
  </si>
  <si>
    <t xml:space="preserve">Product quality and/or certification of products </t>
  </si>
  <si>
    <t xml:space="preserve">Throughput </t>
  </si>
  <si>
    <t xml:space="preserve">Market positioning </t>
  </si>
  <si>
    <t>Impacts to production schedules</t>
  </si>
  <si>
    <t>TOTAL SCORE FOR MILESTONE 1</t>
  </si>
  <si>
    <t>Milestone 2: Categorize Portfolio</t>
  </si>
  <si>
    <t>Select characteristics of the portfolio</t>
  </si>
  <si>
    <t>SCORE (FINAL)</t>
  </si>
  <si>
    <t xml:space="preserve">Facility type and product line at the facility </t>
  </si>
  <si>
    <t xml:space="preserve">Ownership of facility </t>
  </si>
  <si>
    <t xml:space="preserve">Vintage of building  </t>
  </si>
  <si>
    <t>Geographic location based on carbon intensity of electric grid</t>
  </si>
  <si>
    <t>Geographic location based on energy market and utility</t>
  </si>
  <si>
    <t>High process or systems emissions in the facility</t>
  </si>
  <si>
    <t>Equipment vintages expected lifetime, and/or replacement schedule</t>
  </si>
  <si>
    <t xml:space="preserve">Identify and quantify GHG emissions for Significant Greenhouse Gas Emitters (SGEs) </t>
  </si>
  <si>
    <t xml:space="preserve">Benchmark Significant Greenhouse Gas Emitters (SGEs) </t>
  </si>
  <si>
    <t>No</t>
  </si>
  <si>
    <t xml:space="preserve">Select systems for further analysis </t>
  </si>
  <si>
    <t>TOTAL SCORE FOR MILESTONE 2</t>
  </si>
  <si>
    <t>Internal stakeholders</t>
  </si>
  <si>
    <t>Option menu</t>
  </si>
  <si>
    <t>Put additional notes or comments here</t>
  </si>
  <si>
    <t>Help Text</t>
  </si>
  <si>
    <t xml:space="preserve">Organizations should identify their SGEs at both facility and equipment/process levels, which can be large individual equipment like boilers or distributed  sources like refrigerant leaks from cooling systems. </t>
  </si>
  <si>
    <t xml:space="preserve">Benchmark SGEs relative to similar systems to gauge performance. Benchmarking can be used to identify best practices and ideal operating conditions and opportunities for performance improvement.  </t>
  </si>
  <si>
    <t>Milestone 3: Assess Measures</t>
  </si>
  <si>
    <t>Milestone 4: Develop Scenarios</t>
  </si>
  <si>
    <t xml:space="preserve">Milestone 1: Establish Inventory &amp; Scope of Work </t>
  </si>
  <si>
    <t>Language:</t>
  </si>
  <si>
    <t>English</t>
  </si>
  <si>
    <t>Currency:</t>
  </si>
  <si>
    <t>USD</t>
  </si>
  <si>
    <t>Acknowledgment</t>
  </si>
  <si>
    <t xml:space="preserve">     Development Team:</t>
  </si>
  <si>
    <t xml:space="preserve">     Paulomi Nandy</t>
  </si>
  <si>
    <t xml:space="preserve">     Industry Partners:</t>
  </si>
  <si>
    <t xml:space="preserve">     Advising and Outreach:</t>
  </si>
  <si>
    <t xml:space="preserve">     Paul Lemar (ORNL)</t>
  </si>
  <si>
    <t xml:space="preserve">     Sponsor:</t>
  </si>
  <si>
    <t>This tool was prepared as an account of work sponsored by an agency of the United States Government. Neither the United States Government nor any agency thereof,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</si>
  <si>
    <t xml:space="preserve">     Harshal J Kansara</t>
  </si>
  <si>
    <t>Contact Information</t>
  </si>
  <si>
    <t>Phone:</t>
  </si>
  <si>
    <t>Specify if other:</t>
  </si>
  <si>
    <t>End Use</t>
  </si>
  <si>
    <t>NAICS Code(a)</t>
  </si>
  <si>
    <t>Alumina And Aluminum</t>
  </si>
  <si>
    <t>3313</t>
  </si>
  <si>
    <t>Cements</t>
  </si>
  <si>
    <t>327310</t>
  </si>
  <si>
    <t>Chemicals</t>
  </si>
  <si>
    <t>325</t>
  </si>
  <si>
    <t>Computer And Electronic Products</t>
  </si>
  <si>
    <t>334</t>
  </si>
  <si>
    <t>Fabricated Metal Products</t>
  </si>
  <si>
    <t>332</t>
  </si>
  <si>
    <t>Food</t>
  </si>
  <si>
    <t>311</t>
  </si>
  <si>
    <t>Foundries</t>
  </si>
  <si>
    <t>3315</t>
  </si>
  <si>
    <t>Glass Products From Purchased Glass</t>
  </si>
  <si>
    <t>327215</t>
  </si>
  <si>
    <t>Iron And Steel Mills And Ferroalloys</t>
  </si>
  <si>
    <t>331110</t>
  </si>
  <si>
    <t>Iron Foundries</t>
  </si>
  <si>
    <t>331511</t>
  </si>
  <si>
    <t>Dairy Products</t>
  </si>
  <si>
    <t>3115</t>
  </si>
  <si>
    <t>Miscellaneous</t>
  </si>
  <si>
    <t>339</t>
  </si>
  <si>
    <t>Nonferrous Metal (Except Aluminum) Smelting And Refining</t>
  </si>
  <si>
    <t>331410</t>
  </si>
  <si>
    <t>Nonferrous Metal Die-Casting Foundries</t>
  </si>
  <si>
    <t>331523</t>
  </si>
  <si>
    <t>Nonferrous Metals, Except Aluminum</t>
  </si>
  <si>
    <t>3314</t>
  </si>
  <si>
    <t>Nonmetallic Mineral Products</t>
  </si>
  <si>
    <t>327</t>
  </si>
  <si>
    <t>Other Aluminum Rolling, Drawing And Extruding</t>
  </si>
  <si>
    <t>331318</t>
  </si>
  <si>
    <t>Other Basic Inorganic Chemicals</t>
  </si>
  <si>
    <t>325180</t>
  </si>
  <si>
    <t>Other Basic Organic Chemicals</t>
  </si>
  <si>
    <t>325199</t>
  </si>
  <si>
    <t>Other Petroleum And Coal Products</t>
  </si>
  <si>
    <t>324199</t>
  </si>
  <si>
    <t>Other Pressed And Blown Glass And Glassware</t>
  </si>
  <si>
    <t>327212</t>
  </si>
  <si>
    <t>Paper</t>
  </si>
  <si>
    <t>322</t>
  </si>
  <si>
    <t>Paper Mills, Except Newsprint</t>
  </si>
  <si>
    <t>322121</t>
  </si>
  <si>
    <t>Petrochemicals</t>
  </si>
  <si>
    <t>325110</t>
  </si>
  <si>
    <t>Petroleum And Coal Products</t>
  </si>
  <si>
    <t>324</t>
  </si>
  <si>
    <t>Petroleum Refineries</t>
  </si>
  <si>
    <t>324110</t>
  </si>
  <si>
    <t>Pharmaceutical Preparation</t>
  </si>
  <si>
    <t>325412</t>
  </si>
  <si>
    <t>Pharmaceuticals And Medicines</t>
  </si>
  <si>
    <t>3254</t>
  </si>
  <si>
    <t>Plastics And Rubber Products</t>
  </si>
  <si>
    <t>326</t>
  </si>
  <si>
    <t>Plastics Materials And Resins</t>
  </si>
  <si>
    <t>325211</t>
  </si>
  <si>
    <t>Primary Metals</t>
  </si>
  <si>
    <t xml:space="preserve"> 331</t>
  </si>
  <si>
    <t>Pulp Mills</t>
  </si>
  <si>
    <t>322110</t>
  </si>
  <si>
    <t>Secondary Smelting And Alloying Of Aluminum</t>
  </si>
  <si>
    <t>331314</t>
  </si>
  <si>
    <t>Semiconductors And Related Devices</t>
  </si>
  <si>
    <t>334413</t>
  </si>
  <si>
    <t>Steel Products From Purchased Steel</t>
  </si>
  <si>
    <t>3312</t>
  </si>
  <si>
    <t>Textile Mills</t>
  </si>
  <si>
    <t>313</t>
  </si>
  <si>
    <t>Textile Product Mills</t>
  </si>
  <si>
    <t>314</t>
  </si>
  <si>
    <t>Tobacco</t>
  </si>
  <si>
    <t>3122</t>
  </si>
  <si>
    <t>Transportation Equipment</t>
  </si>
  <si>
    <t>336</t>
  </si>
  <si>
    <t>Not involved in ERP development</t>
  </si>
  <si>
    <t>Renewable energy consultants</t>
  </si>
  <si>
    <t>Investors, banks, and lending institutions</t>
  </si>
  <si>
    <t>Insurance providers</t>
  </si>
  <si>
    <t>Local government sustainability offices</t>
  </si>
  <si>
    <t>Climate change regulators and policymakers</t>
  </si>
  <si>
    <t>Neighboring businesses</t>
  </si>
  <si>
    <t>Research institutions and universities</t>
  </si>
  <si>
    <t>Other (Please specify)</t>
  </si>
  <si>
    <t>Not Decided Yet</t>
  </si>
  <si>
    <t>No strategy in place to check data quality</t>
  </si>
  <si>
    <t xml:space="preserve">Yes, we have successfully met our renewable energy procurement goal </t>
  </si>
  <si>
    <t>Yes, we have an active renewable energy procurement goal and are working toward achieving it</t>
  </si>
  <si>
    <t xml:space="preserve">No, but we are in the process of developing renewable energy procurement targets </t>
  </si>
  <si>
    <t xml:space="preserve">No, we are not pursuing renewable energy procurement goals at this time. </t>
  </si>
  <si>
    <t>We do not have formal method of project prioritization</t>
  </si>
  <si>
    <t>We benchmark our SGEs with industry standards (external benchmarking)</t>
  </si>
  <si>
    <t>Through detailed technical and economic feasibility via third-party technology assessments and recommendations for each major emission source</t>
  </si>
  <si>
    <t xml:space="preserve">By piloting selected technologies at specific facilities before wider implementation </t>
  </si>
  <si>
    <t xml:space="preserve">Through industry partnerships and knowledge sharing of proven solutions </t>
  </si>
  <si>
    <t xml:space="preserve">Using internal engineering teams to review and develop cost-benefit analyses </t>
  </si>
  <si>
    <t xml:space="preserve">We have not yet developed a formal assessment process </t>
  </si>
  <si>
    <t>Facility level GHG emissions reduction assessment planning</t>
  </si>
  <si>
    <t>No, we have not yet identified alternative technologies or upgrades</t>
  </si>
  <si>
    <t xml:space="preserve">We are seeking guidance on how to begin </t>
  </si>
  <si>
    <t xml:space="preserve">No, but we have evaluations planned </t>
  </si>
  <si>
    <r>
      <t xml:space="preserve">Please identify all external stakeholders involved in developing the Emission Reduction Plan? </t>
    </r>
    <r>
      <rPr>
        <i/>
        <sz val="14"/>
        <color rgb="FF92D050"/>
        <rFont val="Arial"/>
        <family val="2"/>
      </rPr>
      <t>(Select all that apply)</t>
    </r>
  </si>
  <si>
    <r>
      <t>Which consolidation approach does your company use to consolidate your GHG inventory?</t>
    </r>
    <r>
      <rPr>
        <i/>
        <sz val="14"/>
        <rFont val="Arial"/>
        <family val="2"/>
      </rPr>
      <t xml:space="preserve"> </t>
    </r>
    <r>
      <rPr>
        <i/>
        <sz val="14"/>
        <color theme="5"/>
        <rFont val="Arial"/>
        <family val="2"/>
      </rPr>
      <t>(Select any one)</t>
    </r>
  </si>
  <si>
    <r>
      <t xml:space="preserve">Scope 1 Stationary Emissions </t>
    </r>
    <r>
      <rPr>
        <i/>
        <sz val="14"/>
        <color theme="5"/>
        <rFont val="Arial"/>
        <family val="2"/>
      </rPr>
      <t>(Select any one)</t>
    </r>
  </si>
  <si>
    <r>
      <t xml:space="preserve">Scope 1 Mobile Emissions </t>
    </r>
    <r>
      <rPr>
        <i/>
        <sz val="14"/>
        <color theme="5"/>
        <rFont val="Arial"/>
        <family val="2"/>
      </rPr>
      <t>(Select any one)</t>
    </r>
  </si>
  <si>
    <r>
      <t xml:space="preserve">Scope 1 Fugitive Emissions </t>
    </r>
    <r>
      <rPr>
        <i/>
        <sz val="14"/>
        <color theme="5"/>
        <rFont val="Arial"/>
        <family val="2"/>
      </rPr>
      <t>(Select any one)</t>
    </r>
  </si>
  <si>
    <r>
      <t xml:space="preserve">Scope 1 Process Emissions </t>
    </r>
    <r>
      <rPr>
        <i/>
        <sz val="14"/>
        <color theme="5"/>
        <rFont val="Arial"/>
        <family val="2"/>
      </rPr>
      <t>(Select any one)</t>
    </r>
  </si>
  <si>
    <r>
      <t xml:space="preserve">Scope 2 Purchased Electricity </t>
    </r>
    <r>
      <rPr>
        <i/>
        <sz val="14"/>
        <color theme="5"/>
        <rFont val="Arial"/>
        <family val="2"/>
      </rPr>
      <t>(Select any one)</t>
    </r>
  </si>
  <si>
    <r>
      <t xml:space="preserve">How do you maintain data quality and integrity in your GHG emissions tracking system </t>
    </r>
    <r>
      <rPr>
        <i/>
        <sz val="14"/>
        <color theme="5"/>
        <rFont val="Arial"/>
        <family val="2"/>
      </rPr>
      <t>(Select any one)</t>
    </r>
  </si>
  <si>
    <r>
      <t xml:space="preserve">How do you evaluate and prioritize GHG emissions reduction projects across your operations? </t>
    </r>
    <r>
      <rPr>
        <i/>
        <sz val="14"/>
        <color theme="5"/>
        <rFont val="Arial"/>
        <family val="2"/>
      </rPr>
      <t>(Select any one)</t>
    </r>
  </si>
  <si>
    <t>We are seeking guidance on how to begin</t>
  </si>
  <si>
    <t>Yes, we have finalized vendors or can produce our own low carbon fuel to provide for the ERM</t>
  </si>
  <si>
    <t xml:space="preserve">We are not at this stage but have plans in the future </t>
  </si>
  <si>
    <t>Not considering due to lack of technical feasibility or high cost</t>
  </si>
  <si>
    <t>Yes, we have ERMs that will help us reduce process or fugitive emissions</t>
  </si>
  <si>
    <t xml:space="preserve">No, but we are researching firms that conduct fugitive and process related assessments </t>
  </si>
  <si>
    <t xml:space="preserve">No since we do not have any significant fugitive or process level GHG emissions </t>
  </si>
  <si>
    <t>In-Plant Trainings</t>
  </si>
  <si>
    <t>ITACs</t>
  </si>
  <si>
    <t>Onsite Energy Programs</t>
  </si>
  <si>
    <t>Treasure Hunt Trainings</t>
  </si>
  <si>
    <t>Virtual Trainings</t>
  </si>
  <si>
    <t>Others (Please Specify)</t>
  </si>
  <si>
    <t>Portfolio level GHG emissions reduction assessment planning</t>
  </si>
  <si>
    <t xml:space="preserve">No formal process in place. </t>
  </si>
  <si>
    <t>We have not yet established a formal renewable energy procurement strategy</t>
  </si>
  <si>
    <t xml:space="preserve">Yes, we have a centralized strategy guiding renewable energy procurement across all our operations </t>
  </si>
  <si>
    <t xml:space="preserve">We have a decentralized approach where individual sites identify and implement their own renewable energy procurement opportunities </t>
  </si>
  <si>
    <t>Bundled renewable power purchase agreement (PPPA, VPPA)</t>
  </si>
  <si>
    <t>Utility green tariff/ utility procurement options</t>
  </si>
  <si>
    <t>Unbundled renewable energy credit</t>
  </si>
  <si>
    <t xml:space="preserve">Other (Please specify) </t>
  </si>
  <si>
    <t>No formal strategy as mobile emissions are very small compared to other scope of emissions</t>
  </si>
  <si>
    <t xml:space="preserve">Plan to replace highest-emission vehicles first to electric vehicles (EVs) or hybrid vehicles </t>
  </si>
  <si>
    <t>Implemented pilot program and plan to replace with alternative fuel vehicles</t>
  </si>
  <si>
    <t>Implement procurement policy requiring minimum fuel efficiency standards for new vehicles</t>
  </si>
  <si>
    <t>No formal strategy currently in place</t>
  </si>
  <si>
    <t>Energy demand flexibility</t>
  </si>
  <si>
    <t xml:space="preserve">Grid resiliency and interactivity </t>
  </si>
  <si>
    <t xml:space="preserve">Material efficiency and product circularity </t>
  </si>
  <si>
    <t>Beyond-the-fence line (co-owned or third-party solutions)</t>
  </si>
  <si>
    <t>TOTAL SCORE FOR MILESTONE 3</t>
  </si>
  <si>
    <t>Emissions Reduction Plan Score Card</t>
  </si>
  <si>
    <r>
      <t xml:space="preserve">Have you evaluated your sites for energy efficiency opportunities?  </t>
    </r>
    <r>
      <rPr>
        <i/>
        <sz val="14"/>
        <color theme="5"/>
        <rFont val="Arial"/>
        <family val="2"/>
      </rPr>
      <t>(Select any one)</t>
    </r>
  </si>
  <si>
    <r>
      <t xml:space="preserve">Have you evaluated your sites for electrification opportunities?  </t>
    </r>
    <r>
      <rPr>
        <i/>
        <sz val="14"/>
        <color theme="5"/>
        <rFont val="Arial"/>
        <family val="2"/>
      </rPr>
      <t>(Select any one)</t>
    </r>
  </si>
  <si>
    <r>
      <t xml:space="preserve">Have you evaluated your sites for on-site implementation of renewables? </t>
    </r>
    <r>
      <rPr>
        <i/>
        <sz val="14"/>
        <color theme="5"/>
        <rFont val="Arial"/>
        <family val="2"/>
      </rPr>
      <t>(Select any one)</t>
    </r>
  </si>
  <si>
    <r>
      <t xml:space="preserve">Are you considering carbon capture utilization and sequestration as an important technology to meet your long-term sustainability goal? </t>
    </r>
    <r>
      <rPr>
        <i/>
        <sz val="14"/>
        <color theme="5"/>
        <rFont val="Arial"/>
        <family val="2"/>
      </rPr>
      <t>(Select any one)</t>
    </r>
  </si>
  <si>
    <r>
      <t xml:space="preserve">Has your company included an evaluation of any significant fugitive and process related ERMs in an assessment for greenhouse gas (GHG) reduction opportunities? </t>
    </r>
    <r>
      <rPr>
        <i/>
        <sz val="14"/>
        <color theme="5"/>
        <rFont val="Arial"/>
        <family val="2"/>
      </rPr>
      <t>(Select any one)</t>
    </r>
  </si>
  <si>
    <r>
      <t xml:space="preserve">Has your company participated in any training programs or assessments offered by the DOE’s Better Plants Program to help identify alternate technology or system updates? </t>
    </r>
    <r>
      <rPr>
        <i/>
        <sz val="14"/>
        <color rgb="FF92D050"/>
        <rFont val="Arial"/>
        <family val="2"/>
      </rPr>
      <t>(Select all that apply)</t>
    </r>
  </si>
  <si>
    <r>
      <t xml:space="preserve">How does your company approach the implementation of energy efficiency measures and operational efficiency (industry best practices) across facilities? </t>
    </r>
    <r>
      <rPr>
        <i/>
        <sz val="14"/>
        <color theme="5"/>
        <rFont val="Arial"/>
        <family val="2"/>
      </rPr>
      <t>(Select any one)</t>
    </r>
  </si>
  <si>
    <r>
      <t xml:space="preserve">Do you have a corporate wide strategy for procuring renewable energy? </t>
    </r>
    <r>
      <rPr>
        <i/>
        <sz val="14"/>
        <color theme="5"/>
        <rFont val="Arial"/>
        <family val="2"/>
      </rPr>
      <t>(Select any one)</t>
    </r>
  </si>
  <si>
    <t>Instructions</t>
  </si>
  <si>
    <t xml:space="preserve">Other impacts in addition to environmental impacts </t>
  </si>
  <si>
    <t xml:space="preserve">Variations in cost of equipment /inflation </t>
  </si>
  <si>
    <t xml:space="preserve">Variations in labor, operational and maintenance cost </t>
  </si>
  <si>
    <t xml:space="preserve">Internal Cost of Carbon </t>
  </si>
  <si>
    <t xml:space="preserve">Energy and utility demand </t>
  </si>
  <si>
    <t xml:space="preserve">Regulatory compliance and permitting requirements </t>
  </si>
  <si>
    <t xml:space="preserve">Changes to portfolio (Acquisitions, Divestment, Expansions, Sales, etc.) </t>
  </si>
  <si>
    <t xml:space="preserve">Market expansion </t>
  </si>
  <si>
    <t xml:space="preserve">Facility modification plans </t>
  </si>
  <si>
    <t>Energy efficiency</t>
  </si>
  <si>
    <t>Electrification technology</t>
  </si>
  <si>
    <t>Low carbon fuels (e.g. biofuels and H2)</t>
  </si>
  <si>
    <t>Other (please specify)</t>
  </si>
  <si>
    <t>Technology</t>
  </si>
  <si>
    <t>Start Year</t>
  </si>
  <si>
    <t>End Year</t>
  </si>
  <si>
    <t>TOTAL SCORE FOR MILESTONE 4</t>
  </si>
  <si>
    <t>Milestone 5: Define Emissions Reduction Plan</t>
  </si>
  <si>
    <t xml:space="preserve">Develop work plan </t>
  </si>
  <si>
    <r>
      <t>Do you have budget and resources allocated for implementation of your ERP?</t>
    </r>
    <r>
      <rPr>
        <i/>
        <sz val="14"/>
        <color theme="5"/>
        <rFont val="Arial"/>
        <family val="2"/>
      </rPr>
      <t xml:space="preserve"> (Select any one)</t>
    </r>
  </si>
  <si>
    <r>
      <t>Do you have set timelines for project implementation for your ERP?</t>
    </r>
    <r>
      <rPr>
        <i/>
        <sz val="14"/>
        <color theme="5"/>
        <rFont val="Arial"/>
        <family val="2"/>
      </rPr>
      <t xml:space="preserve"> (Select any one)</t>
    </r>
  </si>
  <si>
    <r>
      <t xml:space="preserve">Have you identified potential challenges for during implementation of your ERMs? </t>
    </r>
    <r>
      <rPr>
        <i/>
        <sz val="14"/>
        <color theme="5"/>
        <rFont val="Arial"/>
        <family val="2"/>
      </rPr>
      <t>(Select any one)</t>
    </r>
  </si>
  <si>
    <t>Measure and verify GHG emissions reductions</t>
  </si>
  <si>
    <t>Document and share key learnings from project implementation</t>
  </si>
  <si>
    <t>Continuous evaluation of circumstances and revision of ERP</t>
  </si>
  <si>
    <r>
      <t xml:space="preserve">How frequently will you review and update your implementation plans? </t>
    </r>
    <r>
      <rPr>
        <i/>
        <sz val="14"/>
        <color theme="5"/>
        <rFont val="Arial"/>
        <family val="2"/>
      </rPr>
      <t>(Select any one)</t>
    </r>
  </si>
  <si>
    <t xml:space="preserve">Every 5-8 years </t>
  </si>
  <si>
    <t xml:space="preserve">Make updates to ERP as and when needed </t>
  </si>
  <si>
    <t xml:space="preserve">Still in process of developing an ERP </t>
  </si>
  <si>
    <t xml:space="preserve">No immediate plans </t>
  </si>
  <si>
    <t>TOTAL SCORE FOR ONGOING IMPLEMENTATION</t>
  </si>
  <si>
    <t>Assess scenarios and select pathway</t>
  </si>
  <si>
    <t xml:space="preserve">We have not yet developed an ERM inventory </t>
  </si>
  <si>
    <t>Governance standards and procedures</t>
  </si>
  <si>
    <t>Project standards</t>
  </si>
  <si>
    <t>Updated training program</t>
  </si>
  <si>
    <t>Procurement practices</t>
  </si>
  <si>
    <t>Financing practices</t>
  </si>
  <si>
    <t>Communications standards and procedures</t>
  </si>
  <si>
    <t>Provide recognition to employees helping drive sustainability efforts</t>
  </si>
  <si>
    <t>Report sustainability efforts through public reporting (e.g. CDP, TCFD, SASB etc.)</t>
  </si>
  <si>
    <t>Standards have not been updated</t>
  </si>
  <si>
    <t>We have created specific evaluation criteria for emissions reduction projects</t>
  </si>
  <si>
    <t>Training employees (including c-suite) on sustainability topics</t>
  </si>
  <si>
    <t>Designate subject matter experts to drive strategic initiatives</t>
  </si>
  <si>
    <r>
      <t xml:space="preserve">Select all the organizational policies that are being updates for developing an effective Emissions Reduction Plan? </t>
    </r>
    <r>
      <rPr>
        <i/>
        <sz val="14"/>
        <color rgb="FF92D050"/>
        <rFont val="Arial"/>
        <family val="2"/>
      </rPr>
      <t>(Select all that apply)</t>
    </r>
  </si>
  <si>
    <t>Engage procurement team to help purchase renewable or low carbon fuel</t>
  </si>
  <si>
    <t>Educate and develop plan for replacement of equipment at end of life with the best available technology</t>
  </si>
  <si>
    <t>Engage with supply chain to help reduce scope 3 emissions</t>
  </si>
  <si>
    <t>Lower barrier to apply for corporate financing</t>
  </si>
  <si>
    <t>Apply internal carbon cost metrics to assess high-capital project feasibility</t>
  </si>
  <si>
    <t>Leverage sustainability achievements for industry recognition</t>
  </si>
  <si>
    <t>Define financing and project deployment schedule</t>
  </si>
  <si>
    <r>
      <t xml:space="preserve">When thinking about project deployment schedules, which of the following are considered?  </t>
    </r>
    <r>
      <rPr>
        <i/>
        <sz val="14"/>
        <color rgb="FF92D050"/>
        <rFont val="Arial"/>
        <family val="2"/>
      </rPr>
      <t>(Select all that apply)</t>
    </r>
  </si>
  <si>
    <t>Annual budget cycles</t>
  </si>
  <si>
    <t>Financing availability / cost</t>
  </si>
  <si>
    <t>Equipment end of life</t>
  </si>
  <si>
    <t>Deferred maintenance schedule</t>
  </si>
  <si>
    <t>Magnitude of emissions reductions</t>
  </si>
  <si>
    <t>Technology availability / cost</t>
  </si>
  <si>
    <t>Projected grid emissions</t>
  </si>
  <si>
    <t>Internal Funding (OpEx / CapEx, Revolving funds)</t>
  </si>
  <si>
    <t>Debt or Loans</t>
  </si>
  <si>
    <t>Leases</t>
  </si>
  <si>
    <t>Energy Savings Performance Contracting</t>
  </si>
  <si>
    <t>Efficiency-as-a-Service</t>
  </si>
  <si>
    <t>Green Bonds</t>
  </si>
  <si>
    <t>Power Purchase Agreement</t>
  </si>
  <si>
    <t>Other (Please specify)  </t>
  </si>
  <si>
    <r>
      <t xml:space="preserve">Which financing mechanisms are being considered to fund ERMs?  </t>
    </r>
    <r>
      <rPr>
        <i/>
        <sz val="14"/>
        <color rgb="FF92D050"/>
        <rFont val="Arial"/>
        <family val="2"/>
      </rPr>
      <t>(Select all that apply)</t>
    </r>
  </si>
  <si>
    <t>Comprehensive Communication: Full internal and external stakeholder communication program implemented with regular updates</t>
  </si>
  <si>
    <t>Partial Communication: Internal rollout complete, external communication in progress through public sustainability report, corporate website, CDP reports and press releases</t>
  </si>
  <si>
    <t>Limited Communication: Plan has been shared with select internal teams only with department specific briefings and internal knowledge portal</t>
  </si>
  <si>
    <t>Task</t>
  </si>
  <si>
    <t>Top scores</t>
  </si>
  <si>
    <r>
      <t xml:space="preserve">Do you have additional renewable energy procurement (RE100) goal? </t>
    </r>
    <r>
      <rPr>
        <i/>
        <sz val="14"/>
        <color theme="5"/>
        <rFont val="Arial"/>
        <family val="2"/>
      </rPr>
      <t>(Select any one)</t>
    </r>
  </si>
  <si>
    <t>SCORE (Binary)</t>
  </si>
  <si>
    <t>We benchmark similar SGEs internally using best practices</t>
  </si>
  <si>
    <t>We benchmark at facility level including EPA energy star or other sources</t>
  </si>
  <si>
    <r>
      <rPr>
        <b/>
        <sz val="12"/>
        <color theme="1"/>
        <rFont val="Arial"/>
        <family val="2"/>
      </rPr>
      <t>Decision Maker </t>
    </r>
    <r>
      <rPr>
        <sz val="12"/>
        <color theme="1"/>
        <rFont val="Arial"/>
        <family val="2"/>
      </rPr>
      <t>- Has ultimate accountability, makes final decisions, provides resources and manpower</t>
    </r>
  </si>
  <si>
    <r>
      <rPr>
        <b/>
        <sz val="12"/>
        <color theme="1"/>
        <rFont val="Arial"/>
        <family val="2"/>
      </rPr>
      <t xml:space="preserve">Sponsor </t>
    </r>
    <r>
      <rPr>
        <sz val="12"/>
        <color theme="1"/>
        <rFont val="Arial"/>
        <family val="2"/>
      </rPr>
      <t xml:space="preserve">- Provides financing </t>
    </r>
  </si>
  <si>
    <r>
      <rPr>
        <b/>
        <sz val="12"/>
        <color theme="1"/>
        <rFont val="Arial"/>
        <family val="2"/>
      </rPr>
      <t>Active partner</t>
    </r>
    <r>
      <rPr>
        <sz val="12"/>
        <color theme="1"/>
        <rFont val="Arial"/>
        <family val="2"/>
      </rPr>
      <t xml:space="preserve"> - Dedicates significant time and resources, participates in regular planning meetings, provides consistent input and feedback</t>
    </r>
  </si>
  <si>
    <r>
      <rPr>
        <b/>
        <sz val="12"/>
        <color theme="1"/>
        <rFont val="Arial"/>
        <family val="2"/>
      </rPr>
      <t>Regular Contributor-</t>
    </r>
    <r>
      <rPr>
        <sz val="12"/>
        <color theme="1"/>
        <rFont val="Arial"/>
        <family val="2"/>
      </rPr>
      <t xml:space="preserve"> Attends scheduled meetings, provides expertise when requested, reviews and gives feedback on deliverables</t>
    </r>
  </si>
  <si>
    <r>
      <rPr>
        <b/>
        <sz val="12"/>
        <color theme="1"/>
        <rFont val="Arial"/>
        <family val="2"/>
      </rPr>
      <t>Subject Matter Expert (SME) / Consultant-</t>
    </r>
    <r>
      <rPr>
        <sz val="12"/>
        <color theme="1"/>
        <rFont val="Arial"/>
        <family val="2"/>
      </rPr>
      <t xml:space="preserve"> Provides specialized input when needed, available for specific questions, participates in relevant technical discussions</t>
    </r>
  </si>
  <si>
    <r>
      <rPr>
        <b/>
        <sz val="12"/>
        <color theme="1"/>
        <rFont val="Arial"/>
        <family val="2"/>
      </rPr>
      <t xml:space="preserve">Informed Participant- </t>
    </r>
    <r>
      <rPr>
        <sz val="12"/>
        <color theme="1"/>
        <rFont val="Arial"/>
        <family val="2"/>
      </rPr>
      <t>Keeps updated on progress, provides occasional input, attends key milestone meetings</t>
    </r>
  </si>
  <si>
    <r>
      <rPr>
        <b/>
        <sz val="12"/>
        <color theme="1"/>
        <rFont val="Arial"/>
        <family val="2"/>
      </rPr>
      <t>Observer / Interested Party-</t>
    </r>
    <r>
      <rPr>
        <sz val="12"/>
        <color theme="1"/>
        <rFont val="Arial"/>
        <family val="2"/>
      </rPr>
      <t xml:space="preserve"> Receives updates and communications, no direct involvement, minimal time commitment</t>
    </r>
  </si>
  <si>
    <r>
      <t xml:space="preserve">What additional projects is your company considering in the development of your Emissions Reduction Plan? </t>
    </r>
    <r>
      <rPr>
        <i/>
        <sz val="14"/>
        <color rgb="FF92D050"/>
        <rFont val="Arial"/>
        <family val="2"/>
      </rPr>
      <t>(Select all that apply)</t>
    </r>
  </si>
  <si>
    <r>
      <t xml:space="preserve">What strategies has your company implemented or planned for reducing mobile emissions through vehicle asset purchases </t>
    </r>
    <r>
      <rPr>
        <i/>
        <sz val="14"/>
        <color rgb="FF92D050"/>
        <rFont val="Arial"/>
        <family val="2"/>
      </rPr>
      <t>(select all that apply)</t>
    </r>
  </si>
  <si>
    <t xml:space="preserve"> </t>
  </si>
  <si>
    <t>Feedback</t>
  </si>
  <si>
    <t>Equipment vendors</t>
  </si>
  <si>
    <t>Energy providers and utilities</t>
  </si>
  <si>
    <t xml:space="preserve">Which emissions are included in your GHG inventory boundary? </t>
  </si>
  <si>
    <t xml:space="preserve">No we do not perform any benchmarking </t>
  </si>
  <si>
    <t xml:space="preserve">No prioritization approach in place </t>
  </si>
  <si>
    <t>We focus on large, unique emission sources that are technically challenging to decarbonize and specific to certain facilities</t>
  </si>
  <si>
    <t>We select projects based on their financial return on investment, funding and incentives and implementation costs</t>
  </si>
  <si>
    <t>We target "quick wins" - emission sources with readily available and cost-effective solutions</t>
  </si>
  <si>
    <r>
      <rPr>
        <sz val="14"/>
        <rFont val="Arial"/>
        <family val="2"/>
      </rPr>
      <t>Has your company identified alternative technologies or system upgrades to reduce carbon emissions from all SGEs within all the facilities?</t>
    </r>
    <r>
      <rPr>
        <i/>
        <sz val="14"/>
        <color theme="5"/>
        <rFont val="Arial"/>
        <family val="2"/>
      </rPr>
      <t xml:space="preserve">  (Select any one)</t>
    </r>
  </si>
  <si>
    <t>Yes, we have identified specific technologies and upgrades for all our SGE and non SGEs at our facilities</t>
  </si>
  <si>
    <t>We have partially identified specific technologies and upgrades for some SGE at our facilities</t>
  </si>
  <si>
    <t>We have identified only low-cost / no-cost efficiency upgrades and system optimization that does not specifically target our SGEs</t>
  </si>
  <si>
    <t>We are currently in the process of evaluating potential solutions</t>
  </si>
  <si>
    <t>Impact of lower energy use resulting from efficiency projects</t>
  </si>
  <si>
    <t>Location-specific greening of the grid impacts on emission reductions from electrification projects</t>
  </si>
  <si>
    <r>
      <t xml:space="preserve">Which business parameters are accounted for in your emission reduction scenario(s)? </t>
    </r>
    <r>
      <rPr>
        <i/>
        <sz val="14"/>
        <color rgb="FF92D050"/>
        <rFont val="Arial"/>
        <family val="2"/>
      </rPr>
      <t>(Select all that apply)</t>
    </r>
  </si>
  <si>
    <r>
      <t xml:space="preserve">Which of the following data have you collected on your ERMs identified in facility- and portfolio-level assessments?  </t>
    </r>
    <r>
      <rPr>
        <i/>
        <sz val="14"/>
        <color rgb="FF92D050"/>
        <rFont val="Arial"/>
        <family val="2"/>
      </rPr>
      <t>(Select all that apply)</t>
    </r>
  </si>
  <si>
    <t>Anticipated deployment year</t>
  </si>
  <si>
    <t>Emissions reduction potential</t>
  </si>
  <si>
    <t>Infrastructure requirements</t>
  </si>
  <si>
    <t>Implementation efforts / downtime, production disruptions, etc.</t>
  </si>
  <si>
    <t>Vendor options &amp; Cost estimates</t>
  </si>
  <si>
    <t>Not under consideration</t>
  </si>
  <si>
    <t>Score (Weighted)</t>
  </si>
  <si>
    <t>(Type in answer in %)</t>
  </si>
  <si>
    <r>
      <t xml:space="preserve">Please specify what percentage of your company's total energy needs do you plan to meet through renewable energy procurement </t>
    </r>
    <r>
      <rPr>
        <i/>
        <sz val="14"/>
        <color theme="0" tint="-0.499984740745262"/>
        <rFont val="Arial"/>
        <family val="2"/>
      </rPr>
      <t>(Type in answer)</t>
    </r>
  </si>
  <si>
    <t>No formal communication: Plan is still in development phase</t>
  </si>
  <si>
    <t>Corporation Name:</t>
  </si>
  <si>
    <t>Reporting Year</t>
  </si>
  <si>
    <t>Primary Contact:</t>
  </si>
  <si>
    <t>E-mail:</t>
  </si>
  <si>
    <t xml:space="preserve">     Andrew Whitlock</t>
  </si>
  <si>
    <t xml:space="preserve">     John O'Neill (US DOE)</t>
  </si>
  <si>
    <t xml:space="preserve">Minimal strategic relevance (&lt;5%) to our operations </t>
  </si>
  <si>
    <t xml:space="preserve">Comprehensive framework incorporating key project evaluation criteria such as, risk assessment, technical feasibility, emission impact, stakeholder input, and strategic alignment </t>
  </si>
  <si>
    <t>SCORE (Weighted)</t>
  </si>
  <si>
    <t>Final</t>
  </si>
  <si>
    <t>Weighted</t>
  </si>
  <si>
    <t>Conversion factor</t>
  </si>
  <si>
    <t xml:space="preserve">Facility Leadership </t>
  </si>
  <si>
    <t xml:space="preserve">Environmental and engineering consulting firms </t>
  </si>
  <si>
    <t xml:space="preserve">Availability of funding and incentives </t>
  </si>
  <si>
    <t>Emissions Reduction Plan Gap Analysis 
Tool</t>
  </si>
  <si>
    <t>Score 0</t>
  </si>
  <si>
    <t>Score not max</t>
  </si>
  <si>
    <t>M1Task 1: Identify and Engage Stakeholders  </t>
  </si>
  <si>
    <t xml:space="preserve">M1Task 2: Establish a GHG Inventory Management Plan </t>
  </si>
  <si>
    <t xml:space="preserve">M1Task 3: Set GHG Reduction Target </t>
  </si>
  <si>
    <t xml:space="preserve">M1Task 4: Define Evaluation Criteria </t>
  </si>
  <si>
    <t xml:space="preserve">M2Task 1: Select Characteristics for the Portfolio </t>
  </si>
  <si>
    <t>M2Task 2: Identify and quantify GHG emissions for Significant Greenhouse Gas Emitters (SGEs)</t>
  </si>
  <si>
    <t xml:space="preserve">M2Task 3: Benchmark SGEs </t>
  </si>
  <si>
    <t>M2Task 4: Select systems for further analysis</t>
  </si>
  <si>
    <t>Manufacturing facilities continuously present energy efficiency opportunities. Regular energy assessments and facility walkthroughs conducted every 2-3 years are essential not only for identifying new opportunities but also for preventing the recurrence of previously addressed inefficiencies, such as compressed air leaks, steam trap failures, or equipment operation outside optimal parameters.</t>
  </si>
  <si>
    <t xml:space="preserve">To secure biofuel contact local farmers, waste management companies or neighboring facility with hydrogen production to ensure fuel availability. </t>
  </si>
  <si>
    <t xml:space="preserve">Onsite renewable energy can be implemented in various settings. Rooftop solar is well-suited for warehouses,  manufacturing facilities, office buildings, and parking structures. Ground-mounted solar installations work best in unused land. CHP systems are commonly implemented where energy reliability is an  issue. Key factors to consider for on-site  renewable energy solutions are local regulations, project cost and space availability. </t>
  </si>
  <si>
    <t xml:space="preserve">For hard-to-abate sectors, CCUS provides a critical pathway to reduce emissions where direct electrification or other alternatives aren't feasible. CCUS also creates economic opportunities through CO2 utilization in products like building materials, chemicals, and fuels. </t>
  </si>
  <si>
    <t xml:space="preserve">Fugitive emissions in manufacturing are often overlooked because they're difficult to detect, measure, and control. Chemical, semiconductor industry, refrigeration and HVAC manufacturer experiences emissions through leaks. All manufacturing facilities have fugitive emissions from their HVAC systems that leak refrigeration during installation, operation, or retirement of equipment. </t>
  </si>
  <si>
    <t>While low-cost and no-cost efficiency upgrades provide immediate benefits, investing in transformative technologies and alternative solutions can deliver substantially greater GHG emission reductions. These technological accelerates progress towards their goal and modernizing  operations, increasing efficiency and process optimization.</t>
  </si>
  <si>
    <t xml:space="preserve">Has your company participated in any training programs or assessments  offered by the DOE’s Better Plants Program to help identify alternate technology or system updates? </t>
  </si>
  <si>
    <t>M3Task 2: Portfolio level GHG emissions reduction assessment planning</t>
  </si>
  <si>
    <t>Standard operating procedures and regular maintenance programs, including leak detection and steam trap inspections, are crucial for operational efficiency. For example: setting equipment standards for HVAC and lighting systems, with defined temperature setpoints and startup/shutdown schedules, optimizes energy use. Predictive maintenance on motors and drives helps prevent breakdowns while ensuring peak system performance and reduced energy waste.</t>
  </si>
  <si>
    <t>Large-scale renewable energy procurement through centralized contracts offers significant advantages for reducing Scope 2 emissions. Large contracts can catalyze new renewable energy projects, standardize contract terms, allowing companies to influence project location, optimize procurement timing to align with their operational needs.</t>
  </si>
  <si>
    <t xml:space="preserve">When mobile emissions represent a significant portion of a company's carbon footprint, the first step should be conducting a comprehensive fleet audit and identify ways that can help reduce mobile emissions. </t>
  </si>
  <si>
    <t>M3Task 1: Facility level GHG emissions reduction assessment planning </t>
  </si>
  <si>
    <t>M4Task 1: Establish Scenario Parameters</t>
  </si>
  <si>
    <t>M4Task 2: Estimate Future Business Portfolio Changes</t>
  </si>
  <si>
    <t>M5Task 1: Assess scenarios and select pathway</t>
  </si>
  <si>
    <t>M5Task 2: Update Organizational Standards and Procedures</t>
  </si>
  <si>
    <t>M5Task 3: Define financing and project deployment schedule</t>
  </si>
  <si>
    <t>M5Task 4:  Secure Final Buy-in from Stakeholder and Release Plan</t>
  </si>
  <si>
    <t xml:space="preserve">M6Task 1: Develop work plan </t>
  </si>
  <si>
    <t>M6Task 2: Measure and verify GHG emissions reductions</t>
  </si>
  <si>
    <t>M6Task 3: Document and share key learnings from project implementation</t>
  </si>
  <si>
    <t>M6Task 4: Continuous evaluation of circumstances and revision of ERP</t>
  </si>
  <si>
    <r>
      <rPr>
        <b/>
        <sz val="10"/>
        <rFont val="Arial"/>
        <family val="2"/>
      </rPr>
      <t xml:space="preserve">Note: </t>
    </r>
    <r>
      <rPr>
        <sz val="10"/>
        <rFont val="Arial"/>
        <family val="2"/>
      </rPr>
      <t>ERP Gap Assessment Tool is currently available in the English language only.</t>
    </r>
  </si>
  <si>
    <t xml:space="preserve">     Disclaimer</t>
  </si>
  <si>
    <t>Company Information</t>
  </si>
  <si>
    <t>SCORE (PER QUESTION)</t>
  </si>
  <si>
    <t>SCORE (Per Question)</t>
  </si>
  <si>
    <t>FINAL SCORE (Weighted)</t>
  </si>
  <si>
    <t xml:space="preserve">We have not developed scenarios </t>
  </si>
  <si>
    <t xml:space="preserve">High electrification </t>
  </si>
  <si>
    <t xml:space="preserve">High renewable energy </t>
  </si>
  <si>
    <t>Medium EE</t>
  </si>
  <si>
    <t>Medium electrification</t>
  </si>
  <si>
    <t>Medium renewable energy</t>
  </si>
  <si>
    <t>Low EE</t>
  </si>
  <si>
    <t>Low electrification</t>
  </si>
  <si>
    <t>Low renewable energy</t>
  </si>
  <si>
    <t xml:space="preserve">High EE </t>
  </si>
  <si>
    <t>Cost</t>
  </si>
  <si>
    <t>Financing</t>
  </si>
  <si>
    <t>Technology readiness</t>
  </si>
  <si>
    <t>Scenario 1</t>
  </si>
  <si>
    <t>Scenario 2</t>
  </si>
  <si>
    <t>Cost benefit analysis</t>
  </si>
  <si>
    <t xml:space="preserve">Greening of the grid </t>
  </si>
  <si>
    <t>Product Mix</t>
  </si>
  <si>
    <t>Task 5</t>
  </si>
  <si>
    <r>
      <t xml:space="preserve">Which statement best describes your evaluation of scenarios? </t>
    </r>
    <r>
      <rPr>
        <i/>
        <sz val="14"/>
        <color theme="5"/>
        <rFont val="Arial"/>
        <family val="2"/>
      </rPr>
      <t>(Select any one)</t>
    </r>
  </si>
  <si>
    <r>
      <t xml:space="preserve">Which of the following interactions between different emission reduction measures in your deployment schedule are considered in your scenarios? </t>
    </r>
    <r>
      <rPr>
        <i/>
        <sz val="14"/>
        <color rgb="FF92D050"/>
        <rFont val="Arial"/>
        <family val="2"/>
      </rPr>
      <t>(Select all that apply)</t>
    </r>
  </si>
  <si>
    <t xml:space="preserve">Downstream effects from projects that result in process changes </t>
  </si>
  <si>
    <t>Score (final)</t>
  </si>
  <si>
    <t xml:space="preserve">Standards have not been updated </t>
  </si>
  <si>
    <t xml:space="preserve">Federal, State, and/or Local funding opportunities, tax incentives, and rebates </t>
  </si>
  <si>
    <t>TOTAL</t>
  </si>
  <si>
    <t xml:space="preserve">Resources </t>
  </si>
  <si>
    <t>Companies should engage internal stakeholders early in emission reduction planning to ensure practical feasibility and organizational alignment. Executive leadership provides strategic direction and resource commitment, while facility teams and operations offer crucial insights into implementation challenges. Early involvement of finance, procurement, and project management ensures realistic budgeting and timelines. This collaborative approach reduces execution risks, builds organizational buy-in, and helps identify cross-functional opportunities that might otherwise be missed.</t>
  </si>
  <si>
    <t>Companies should engage external stakeholders because they provide critical expertise and resources beyond internal capabilities. Environmental consultants and carbon specialists ensure compliance, while vendors and utilities offer insights into new technologies. Financial institutions help secure funding, and industry associations provide benchmarking data. This external collaboration helps companies identify opportunities, access specialized knowledge, and validate their approach against best practices, ultimately creating more robust emission reduction strategies.</t>
  </si>
  <si>
    <t xml:space="preserve">
GHG Protocol Corporate standard</t>
  </si>
  <si>
    <t>GHG Protocol Scope 2 Guidance</t>
  </si>
  <si>
    <t>Maintaining better data quality and integrity reduces the risk of reporting errors and potential regulatory penalties. A robust system enables accurate trend analysis. Reliable emissions data is crucial for compliance and avoiding reputational damage.</t>
  </si>
  <si>
    <t>SBTi Corporate Net Zero Standard</t>
  </si>
  <si>
    <t>Climate Group RE100</t>
  </si>
  <si>
    <t>Ambitious targets drive innovation and operational efficiency, often leading to cost savings through reduced energy consumption and optimized processes. These goals can help strengthen market positioning, as consumers and investors increasingly favor environmentally responsible businesses. Ambitious goals signal leadership in climate action, which can create competitive advantages in securing contracts with large customers who have their own emission reduction requirements.</t>
  </si>
  <si>
    <t>Companies should adopt a systematic approach to evaluate and prioritize GHG emissions reduction projects because it ensures efficient resource allocation to high-impact projects while minimizing implementation risks. It provides transparent decision-making that builds stakeholder confidence and organizational buy-in. By considering multiple criteria and dependencies, companies avoid costly mistakes and create a balanced roadmap of quick wins and strategic initiatives.</t>
  </si>
  <si>
    <t>No stakeholders identified at this time</t>
  </si>
  <si>
    <t>Supply chain partners/Customers</t>
  </si>
  <si>
    <t>Companies should consider key operational characteristics because they determine the feasibility and impact of emission reduction initiatives. Facility type, ownership, and location influence available options and cost-effectiveness, while grid carbon intensity affects electrification benefits. Understanding equipment lifecycles and process emissions helps target the biggest opportunities, while knowledge of available incentives optimizes project economics. This systematic assessment enables companies to identify and prioritize the most impactful initiatives aligned with their infrastructure realities.</t>
  </si>
  <si>
    <t>Benchmarking process/systems can begin with normalizing data against key metrics like production output or revenue to enable meaningful comparisons. Organizations then benchmark their performance against industry standards to identify where they stand and where improvements are possible. Comparing similar processes across different facilities reveals internal best practices and opportunities for optimization. Evaluating the relative efficiency of different technologies helps identify the most effective solutions for emission reduction, informing strategic investment decisions.</t>
  </si>
  <si>
    <t xml:space="preserve">Companies can effectively prioritize SGEs through two main approaches. The first focuses on large, unique emission sources that are technically challenging and facility-specific, allowing for concentrated expertise development and potentially transformative solutions. The second targets common emission sources across multiple facilities, enabling scalable solutions and standardized approaches. A hybrid strategy often works best. </t>
  </si>
  <si>
    <t>No other projects are in consideration</t>
  </si>
  <si>
    <t xml:space="preserve">Establishing comprehensive timelines with detailed project schedules for ERP implementation provides clear milestones that keep the project on track. Defined timelines help manage stakeholder expectations and enable proper resource allocation. Clear deadlines create accountability, allowing teams to prioritize tasks effectively and identify potential delays early. A well-structured timeline also facilitates coordination between departments and minimizes business disruption. </t>
  </si>
  <si>
    <t xml:space="preserve">Measuring and verifying emission reductions within ERP systems enables companies to accurately track their environmental impact and demonstrate regulatory compliance. This data-driven approach provides credible evidence for sustainability reporting, strengthening stakeholder trust and brand reputation. Additionally, accurate measurement supports data-informed decision making for future sustainability initiatives, helping businesses remain competitive as environmental standards continue to evolve. </t>
  </si>
  <si>
    <t>Capturing and sharing key learnings from ERP implementations through structured knowledge management systems prevents repetition of past mistakes and preserves valuable institutional knowledge.</t>
  </si>
  <si>
    <t>Companies should regularly review and update their ERP systems every 2-4 years to remain aligned with evolving energy markets and sustainability trends. These periodic assessments ensure systems incorporate emerging technologies and efficiency standards, preventing outdated processes from hindering operational performance. By proactively refreshing their ERP capabilities, companies can continuously optimize resource allocation, reduce carbon footprint, and adapt quickly to market disruptions.</t>
  </si>
  <si>
    <t>M4Task 3: Review Emission Reduction Measures</t>
  </si>
  <si>
    <t>By developing scenarios that account for critical cost variables, companies create emission reduction strategies that remain economically viable through market fluctuations, technological changes, and macroeconomic shifts. Rising fossil fuel costs may accelerate payback periods for efficiency investments and alternative energy projects, while price drops could temporarily disadvantage clean energy economics. The evolving market for low carbon fuels introduces significant cost uncertainties. Scenarios that model different cost trajectories for biofuels, hydrogen, and synthetic fuels help companies identify economic tipping points for adoption. Electricity pricing—both grid and renewable—directly impacts electrification strategies. Companies should model how different electricity cost scenarios affect the economics of electric vehicle fleets and other electrification initiatives. Price fluctuations due to supply chain disruptions, technological advances, or inflation can dramatically alter project economics.  Scenarios that model different labor cost trajectories, maintenance requirements, and operational efficiencies provide a more complete picture of long-term financial impacts. This analysis reveals which solutions offer the most resilient value proposition despite variations in ongoing costs.</t>
  </si>
  <si>
    <t>M4Task 5: Evaluate Scenarios</t>
  </si>
  <si>
    <t>M4Task 4: Assess scenarios and select pathway</t>
  </si>
  <si>
    <t>No cost parameters were considered in ERP development</t>
  </si>
  <si>
    <t>No characteristics identified</t>
  </si>
  <si>
    <t xml:space="preserve">Business changes are not factored into our scenario planning </t>
  </si>
  <si>
    <t>No identified ERMs in facility and portfolio-level assessments</t>
  </si>
  <si>
    <t>ERM Interactions in deployment schedule are still being identified and evaluated</t>
  </si>
  <si>
    <t>Key consideration are still being identified and evaluated</t>
  </si>
  <si>
    <t>A comprehensive energy management handbook serves as a crucial operational foundation by centralizing industry best practices and company-specific standards in one authoritative resource. 
Key Actions: 
1) Define clear objectives for the handbook that align with company sustainability goals and regulatory requirements.
2) Create standardized procedures for energy monitoring, equipment maintenance, and efficiency upgrades that can be implemented consistently.
3) Develop performance metrics and KPIs to measure progress, along with reporting templates and dashboards.
4) Establish roles and responsibilities for energy management across all organizational levels.
5) Include implementation guidelines with step-by-step instructions for common energy-saving initiatives.
6) Design a continuous improvement process for regularly updating the handbook based on performance data and new technologies.
7) Plan for training and communication to ensure all employees understand how to use the handbook effectively.</t>
  </si>
  <si>
    <t xml:space="preserve">Weighted_Score </t>
  </si>
  <si>
    <t>50%ofScore</t>
  </si>
  <si>
    <t>Milestone_Total</t>
  </si>
  <si>
    <t>Milestone1_Feedback_Binary</t>
  </si>
  <si>
    <t>Milestone6_Feedback_Binary</t>
  </si>
  <si>
    <t>Milestone5_Feedback_Binary</t>
  </si>
  <si>
    <t>Milestone4_Feedback_Binary</t>
  </si>
  <si>
    <t>Milestone3_Feedback_Binary</t>
  </si>
  <si>
    <t>Milestone2_Feedback_Binary</t>
  </si>
  <si>
    <t>NEEES IMPROVEMENT (CONCAT)</t>
  </si>
  <si>
    <t>STRENGTHS (CONCAT)</t>
  </si>
  <si>
    <t>Critical_Tasks&lt;=50%TotalScore</t>
  </si>
  <si>
    <t>NEEDS IMPROVEMENT</t>
  </si>
  <si>
    <t>Tasks&gt;50%</t>
  </si>
  <si>
    <t>Milestone 6: Ongoing Implementation</t>
  </si>
  <si>
    <t>Milestone 3: Assess measures</t>
  </si>
  <si>
    <r>
      <t xml:space="preserve">Please describe your approach to project phasing and deployment timing for your emission reduction initiatives </t>
    </r>
    <r>
      <rPr>
        <i/>
        <sz val="14"/>
        <color theme="0" tint="-0.499984740745262"/>
        <rFont val="Arial"/>
        <family val="2"/>
      </rPr>
      <t xml:space="preserve">(Type in % reduction of set goal) </t>
    </r>
    <r>
      <rPr>
        <sz val="14"/>
        <color theme="1"/>
        <rFont val="Arial"/>
        <family val="2"/>
      </rPr>
      <t>&amp;</t>
    </r>
    <r>
      <rPr>
        <i/>
        <sz val="14"/>
        <color rgb="FF00B0F0"/>
        <rFont val="Arial"/>
        <family val="2"/>
      </rPr>
      <t xml:space="preserve"> (Choose year from dropdown list)  </t>
    </r>
  </si>
  <si>
    <r>
      <t xml:space="preserve">Financing mechanisms are still being identified and evaluated to fund ERP </t>
    </r>
    <r>
      <rPr>
        <u/>
        <sz val="12"/>
        <color theme="1"/>
        <rFont val="Arial"/>
        <family val="2"/>
      </rPr>
      <t>OR</t>
    </r>
    <r>
      <rPr>
        <sz val="12"/>
        <color theme="1"/>
        <rFont val="Arial"/>
        <family val="2"/>
      </rPr>
      <t xml:space="preserve"> No financing mechanisms are being considered to fund ERMs</t>
    </r>
  </si>
  <si>
    <t>Project deployment schedule not developed yet</t>
  </si>
  <si>
    <r>
      <t xml:space="preserve">Companies can effectively prioritize SGEs for further analysis when they are hard to decarbonize:
</t>
    </r>
    <r>
      <rPr>
        <b/>
        <sz val="10"/>
        <color theme="1"/>
        <rFont val="Arial"/>
        <family val="2"/>
      </rPr>
      <t xml:space="preserve">Key Actions:
</t>
    </r>
    <r>
      <rPr>
        <sz val="10"/>
        <color theme="1"/>
        <rFont val="Arial"/>
        <family val="2"/>
      </rPr>
      <t>1) Identify and rank all emission sources by both magnitude and frequency across facilities
2) Create 2 tracks- large unique sources or common sources present in multiple facilities
3) Allocate resources based on: potential emission reduction impact, technical feasibility, cost-effectiveness</t>
    </r>
  </si>
  <si>
    <r>
      <t xml:space="preserve">Organizations can procure renewable energy to reduce Scope 2 emissions. 
</t>
    </r>
    <r>
      <rPr>
        <b/>
        <sz val="10"/>
        <color theme="1"/>
        <rFont val="Arial"/>
        <family val="2"/>
      </rPr>
      <t>Key Actions:</t>
    </r>
    <r>
      <rPr>
        <sz val="10"/>
        <color theme="1"/>
        <rFont val="Arial"/>
        <family val="2"/>
      </rPr>
      <t xml:space="preserve">
1) Determine whether physical PPAs, virtual PPAs, or a mix of solutions best suits your needs and set goals for energy procurement in terms of volume and timeline.
2) Research potential renewable energy developers and suppliers with experience in your desired markets.
3) Develop a comprehensive RFP that outlines your requirements and assess proposal from vendors based on your needs. </t>
    </r>
  </si>
  <si>
    <t>TASK LIST</t>
  </si>
  <si>
    <t>MILESTONE FEEDBACK</t>
  </si>
  <si>
    <r>
      <rPr>
        <sz val="10"/>
        <color theme="1"/>
        <rFont val="Aptos Narrow"/>
        <family val="2"/>
      </rPr>
      <t>•</t>
    </r>
    <r>
      <rPr>
        <sz val="10"/>
        <color theme="1"/>
        <rFont val="Arial"/>
        <family val="2"/>
      </rPr>
      <t xml:space="preserve">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t>
    </r>
  </si>
  <si>
    <t>•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t>
  </si>
  <si>
    <t>•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t>
  </si>
  <si>
    <t>•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t>
  </si>
  <si>
    <t>• Companies should identify and quantify significant emission sources (SGEs) as understanding these helps prioritize cost-effective reduction opportunities and investments in cleaner technologies.</t>
  </si>
  <si>
    <t>• Companies should prioritize hard-to-decarbonize Significant Emission Sources (SGEs) through a data-driven assessment that ranks emission sources by magnitude and frequency across facilities.</t>
  </si>
  <si>
    <t>•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t>
  </si>
  <si>
    <t>•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t>
  </si>
  <si>
    <t>•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t>
  </si>
  <si>
    <t>• Measuring emission reductions in ERP systems enables accurate environmental impact tracking, regulatory compliance, credible sustainability reporting, enhanced stakeholder trust, and data-informed decision-making for future initiatives as environmental standards evolve.</t>
  </si>
  <si>
    <t>• Capturing and sharing key learnings from ERP implementations through structured knowledge management systems prevents repetition of past mistakes and preserves valuable institutional knowledge.</t>
  </si>
  <si>
    <t xml:space="preserve">     Thomas Wenning (ORNL)</t>
  </si>
  <si>
    <r>
      <t xml:space="preserve">How have you communicated your ERP to internal and external stakeholders?  </t>
    </r>
    <r>
      <rPr>
        <i/>
        <sz val="14"/>
        <color theme="5"/>
        <rFont val="Arial"/>
        <family val="2"/>
      </rPr>
      <t>(Select any one)</t>
    </r>
  </si>
  <si>
    <r>
      <t xml:space="preserve">Organizations should establish a systematic consolidation framework aligned with GHG Protocol's  organizational boundaries ensuring consistent and accurate emissions accounting across all entities and operations.
</t>
    </r>
    <r>
      <rPr>
        <b/>
        <sz val="10"/>
        <color theme="1"/>
        <rFont val="Arial"/>
        <family val="2"/>
      </rPr>
      <t>Key actions</t>
    </r>
    <r>
      <rPr>
        <sz val="10"/>
        <color theme="1"/>
        <rFont val="Arial"/>
        <family val="2"/>
      </rPr>
      <t>: 
1) Select appropriate consolidation approach by mapping all entities, facilities, and operations within scope, identifying joint ventures and shared ownership arrangements and create decision trees for boundary determinations.</t>
    </r>
  </si>
  <si>
    <r>
      <t>Organizations should ensure consistent and accurate GHG inventory consolidation that aligns with GHG Protocol requirements.</t>
    </r>
    <r>
      <rPr>
        <b/>
        <sz val="10"/>
        <color theme="1"/>
        <rFont val="Arial"/>
        <family val="2"/>
      </rPr>
      <t xml:space="preserve">
Key Action:</t>
    </r>
    <r>
      <rPr>
        <sz val="10"/>
        <color theme="1"/>
        <rFont val="Arial"/>
        <family val="2"/>
      </rPr>
      <t xml:space="preserve"> 
1) Develop standardized data collection templates, create emissions factor databases, define data ownership and responsibilities.
2) Create centralized emissions tracking system, establish regular reporting schedules, define base year recalculation criteria.</t>
    </r>
  </si>
  <si>
    <r>
      <t>Organization should maintained transparency and traceability in their emissions reporting.</t>
    </r>
    <r>
      <rPr>
        <b/>
        <sz val="10"/>
        <color theme="1"/>
        <rFont val="Arial"/>
        <family val="2"/>
      </rPr>
      <t xml:space="preserve">
Key Action: 
</t>
    </r>
    <r>
      <rPr>
        <sz val="10"/>
        <color theme="1"/>
        <rFont val="Arial"/>
        <family val="2"/>
      </rPr>
      <t>1) Develop internal audit procedures, set up review processes, establish error checking mechanisms.
2) Track organizational changes that effect consolidation approach, document calculation methodologies.</t>
    </r>
  </si>
  <si>
    <t>Systematic approach helps ensure company resources are directed to the most impactful and feasible emission reduction opportunities while managing risks and stakeholder needs.
Key Actions: 
1) Create a standardized assessment matrix that evaluates each potential project across key dimensions- Quantified emission reduction potential, implementation costs and ROI, alignment with company strategy and goals.
2) Develop weighted scoring criteria: Assign relative importance to each evaluation factor, create scoring guidelines for consistent assessment, set minimum thresholds for critical criteria, define a clear methodology for calculating total project scores.
3) Prioritize and sequence projects: Rank projects based on assessment scores, group initiatives into near-term and long-term categories, identify dependencies between projects.</t>
  </si>
  <si>
    <t>Companies should consider co-benefits for their project because this approach captures broader business value beyond energy and carbon reduction. Projects that deliver multiple benefits like cost savings, water conservation, and improved product quality become more financially attractive and easier to justify. Evaluating factors such as technology availability, safety, and production impacts helps identify synergies early while ensuring investments serve multiple business objectives simultaneously. This comprehensive view strengthens project success rates and maximizes return on investment.</t>
  </si>
  <si>
    <t>•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t>
  </si>
  <si>
    <r>
      <t xml:space="preserve">Companies should identify and quantify their SGEs since understanding emission sources helps companies identify the most cost-effective reduction opportunities and prioritize investments in cleaner technologies or processes.
</t>
    </r>
    <r>
      <rPr>
        <b/>
        <sz val="10"/>
        <color theme="1"/>
        <rFont val="Arial"/>
        <family val="2"/>
      </rPr>
      <t xml:space="preserve">Key Actions: 
</t>
    </r>
    <r>
      <rPr>
        <sz val="10"/>
        <color theme="1"/>
        <rFont val="Arial"/>
        <family val="2"/>
      </rPr>
      <t>1) Compile an inventory of all processes and systems, collect basic operational data. 
2) Calculate preliminary emissions estimates for each system, set a materiality threshold (e.g., sources contributing &gt;5% of total emissions).
3) Focus resources on systems above materiality threshold.</t>
    </r>
  </si>
  <si>
    <r>
      <t xml:space="preserve">Organization should prioritize energy efficiency opportunities across all facilities and  operation.
</t>
    </r>
    <r>
      <rPr>
        <b/>
        <sz val="10"/>
        <color theme="1"/>
        <rFont val="Arial"/>
        <family val="2"/>
      </rPr>
      <t xml:space="preserve">Key Actions:
</t>
    </r>
    <r>
      <rPr>
        <sz val="10"/>
        <color theme="1"/>
        <rFont val="Arial"/>
        <family val="2"/>
      </rPr>
      <t>1) Collecting historical energy bill and consumption data to understand the energy consumption profiles by process/area.
2) Perform energy assessments analyzing system inefficiencies and behavioral improvement opportunities.
3) Calculate technical savings potential, perform cost-benefit analysis, evaluate operational impacts and prioritize opportunities based on financial and performance impacts.</t>
    </r>
  </si>
  <si>
    <r>
      <t xml:space="preserve">Organizations should develop a plan for strategic conversion to electric alternatives.
</t>
    </r>
    <r>
      <rPr>
        <b/>
        <sz val="10"/>
        <color theme="1"/>
        <rFont val="Arial"/>
        <family val="2"/>
      </rPr>
      <t>Key Actions</t>
    </r>
    <r>
      <rPr>
        <sz val="10"/>
        <color theme="1"/>
        <rFont val="Arial"/>
        <family val="2"/>
      </rPr>
      <t xml:space="preserve">: 
1) Inventory all fossil fuel-powered equipment, map energy consumption patterns, analyze load profiles and capacity operational requirements.
2) Evaluate technical feasibility of electric alternatives, assess market availability of electric equipment, energy cost savings and rate structure impacts.
3)Review process and infrastructure modification requirements, productivity improvements and operational impacts and maintenance requirement.
</t>
    </r>
  </si>
  <si>
    <r>
      <t xml:space="preserve">Organizations should considering infrastructure requirements when considering electrification.
</t>
    </r>
    <r>
      <rPr>
        <b/>
        <sz val="10"/>
        <color theme="1"/>
        <rFont val="Arial"/>
        <family val="2"/>
      </rPr>
      <t>Key Actions:</t>
    </r>
    <r>
      <rPr>
        <sz val="10"/>
        <color theme="1"/>
        <rFont val="Arial"/>
        <family val="2"/>
      </rPr>
      <t xml:space="preserve">
1) Assess electrical capacity needs, evaluate grid connection requirements, document upgrade specifications.
2) Schedule initial consultation with utility representatives and share electrification plans and timelines.
3) Consider energy storage solutions and demand response programs.</t>
    </r>
  </si>
  <si>
    <r>
      <t xml:space="preserve">Organizations should develop a plan for strategic conversion to low carbon fuel  alternatives.
</t>
    </r>
    <r>
      <rPr>
        <b/>
        <sz val="10"/>
        <color theme="1"/>
        <rFont val="Arial"/>
        <family val="2"/>
      </rPr>
      <t>Key Actions:</t>
    </r>
    <r>
      <rPr>
        <sz val="10"/>
        <color theme="1"/>
        <rFont val="Arial"/>
        <family val="2"/>
      </rPr>
      <t xml:space="preserve">
1) Map all fuel usage across operations , document current fuel types, volumes, and associated emissions.
2) Research suitable low carbon fuels, calculate potential emissions reductions compare fuel costs and availability, assess the operation and production impacts.</t>
    </r>
  </si>
  <si>
    <r>
      <t xml:space="preserve">Organizations should considering infrastructure requirements when considering low carbon alternatives. 
</t>
    </r>
    <r>
      <rPr>
        <b/>
        <sz val="10"/>
        <color theme="1"/>
        <rFont val="Arial"/>
        <family val="2"/>
      </rPr>
      <t>Key Actions:</t>
    </r>
    <r>
      <rPr>
        <sz val="10"/>
        <color theme="1"/>
        <rFont val="Arial"/>
        <family val="2"/>
      </rPr>
      <t xml:space="preserve">
1) Estimate the quantity of alternate fuel required based on heating value of fuel, equipment operation and process needs. 
2) Assess tanks and pipe material compatibility implement leak detection system.</t>
    </r>
  </si>
  <si>
    <r>
      <t xml:space="preserve">Organizations should develop a plan for strategic onsite renewable energy to help reduce their energy cost and increase reliability. 
</t>
    </r>
    <r>
      <rPr>
        <b/>
        <sz val="10"/>
        <color theme="1"/>
        <rFont val="Arial"/>
        <family val="2"/>
      </rPr>
      <t>Key Actions:</t>
    </r>
    <r>
      <rPr>
        <sz val="10"/>
        <color theme="1"/>
        <rFont val="Arial"/>
        <family val="2"/>
      </rPr>
      <t xml:space="preserve">
1) Assess  available space structural feasibility and measure renewable energy potential.
2) Conduct grid interconnection study, storage feasibility and estimate total energy and emission reduction. </t>
    </r>
  </si>
  <si>
    <t>A dedicated ERP implementation budget ensures project completion without interruptions due to funding shortages. When specific funding is allocated for key initiatives, companies can plan realistically and track ROI effectively. Proper resource allocation also reduces implementation risks and minimizes technical issues.</t>
  </si>
  <si>
    <t>Proactively identifying potential challenges before ERP implementation helps companies develop effective mitigation strategies, reducing costly disruptions and delays. Recognizing  user adoption barriers enables targeted solutions and appropriate resource allocation. Companies that anticipate challenges can also prioritize critical functionality, plan for necessary customizations, and create contingency plans.</t>
  </si>
  <si>
    <t>No additional co-benefits identified</t>
  </si>
  <si>
    <t>Scenario 1 Dummy block</t>
  </si>
  <si>
    <t>Scenario 2 Dummy block</t>
  </si>
  <si>
    <t>Score (Binary) {Scenario 1}</t>
  </si>
  <si>
    <t>Score (Binary) {Scenario 2}</t>
  </si>
  <si>
    <t>Medium - low carbon fuel</t>
  </si>
  <si>
    <t>Low - low carbon fuel</t>
  </si>
  <si>
    <r>
      <t xml:space="preserve">Industry Type </t>
    </r>
    <r>
      <rPr>
        <i/>
        <sz val="12"/>
        <color theme="1"/>
        <rFont val="Arial"/>
        <family val="2"/>
      </rPr>
      <t>(Choose from dropdown)</t>
    </r>
    <r>
      <rPr>
        <sz val="12"/>
        <color theme="1"/>
        <rFont val="Arial"/>
        <family val="2"/>
      </rPr>
      <t>:</t>
    </r>
  </si>
  <si>
    <t>Milestone 1</t>
  </si>
  <si>
    <t>% Total</t>
  </si>
  <si>
    <t>Task_Total</t>
  </si>
  <si>
    <t>Milestone 2</t>
  </si>
  <si>
    <t>Milestone 5</t>
  </si>
  <si>
    <t>Milestone 3</t>
  </si>
  <si>
    <t>Milestone 4</t>
  </si>
  <si>
    <t>Task2:  Establish a GHG Inventory Management Plan</t>
  </si>
  <si>
    <t>Task1: Identify and Engage Stakeholders </t>
  </si>
  <si>
    <t>Task3: Set GHG Reduction Target</t>
  </si>
  <si>
    <t>Task4: Define Evaluation Criteria</t>
  </si>
  <si>
    <t>Task1: Select characteristics of the portfolio</t>
  </si>
  <si>
    <t xml:space="preserve">Task4: Select systems for further analysis </t>
  </si>
  <si>
    <t>Task1: Facility level GHG emissions reduction assessment planning</t>
  </si>
  <si>
    <t>Task2: Portfolio level GHG emissions reduction assessment planning</t>
  </si>
  <si>
    <t>Task2: Estimate Future Business Portfolio Changes</t>
  </si>
  <si>
    <t>Task3: Review Emissions Reduction Measures</t>
  </si>
  <si>
    <t>Task4: Define Scenarios</t>
  </si>
  <si>
    <t>Task5: Evaluate Scenarios</t>
  </si>
  <si>
    <t>Task1: Assess scenarios and select pathway</t>
  </si>
  <si>
    <t>Task4: Secure Final Buy-in from Stakeholder and Release Plan</t>
  </si>
  <si>
    <t>Task2: Update Organizational Standards and Procedures</t>
  </si>
  <si>
    <t>Task3: Define financing and project deployment schedule</t>
  </si>
  <si>
    <t xml:space="preserve">Task1: Develop work plan </t>
  </si>
  <si>
    <t>Task2: Measure and verify GHG emissions reductions</t>
  </si>
  <si>
    <t>Task3: Document and share key learnings from project implementation</t>
  </si>
  <si>
    <t>Task4: Continuous evaluation of circumstances and revision of ERP</t>
  </si>
  <si>
    <t xml:space="preserve">Task2: Identify and quantify GHG emissions for SGEs </t>
  </si>
  <si>
    <t>Task3: Benchmark SGEs</t>
  </si>
  <si>
    <r>
      <rPr>
        <b/>
        <sz val="10"/>
        <color theme="1"/>
        <rFont val="Arial"/>
        <family val="2"/>
      </rPr>
      <t>Task1:</t>
    </r>
    <r>
      <rPr>
        <sz val="10"/>
        <color theme="1"/>
        <rFont val="Arial"/>
        <family val="2"/>
      </rPr>
      <t xml:space="preserve"> Establish Scenario Parameters</t>
    </r>
  </si>
  <si>
    <r>
      <t xml:space="preserve">NAICS Code </t>
    </r>
    <r>
      <rPr>
        <i/>
        <sz val="12"/>
        <color theme="1"/>
        <rFont val="Arial"/>
        <family val="2"/>
      </rPr>
      <t>(Auto generated)</t>
    </r>
  </si>
  <si>
    <t>CRITICAL TASKS NOT COMPETED IN YOUR ERP</t>
  </si>
  <si>
    <t>Target</t>
  </si>
  <si>
    <t>Actual</t>
  </si>
  <si>
    <t>Low</t>
  </si>
  <si>
    <t>Medium</t>
  </si>
  <si>
    <t>Max</t>
  </si>
  <si>
    <t>blank before target</t>
  </si>
  <si>
    <t>target line</t>
  </si>
  <si>
    <t>blank after target</t>
  </si>
  <si>
    <t>Milestone_Max</t>
  </si>
  <si>
    <t>M1:Gap</t>
  </si>
  <si>
    <t>M2:Gap</t>
  </si>
  <si>
    <t>M3:Gap</t>
  </si>
  <si>
    <t>M4:Gap</t>
  </si>
  <si>
    <t>M5:Gap</t>
  </si>
  <si>
    <t>M6:Gap</t>
  </si>
  <si>
    <t>Planning for business changes during ERP development can help make the plan more robust. Acquisitions and divestments dramatically alter a company's emissions profile. Emission strategies must anticipate how these changes affect overall targets and build flexibility to maintain decarbonization momentum despite portfolio shifts. Growth-oriented companies must account for how capacity expansions will increase their carbon footprint, potentially requiring more aggressive reduction measures elsewhere. Shifts in product mix, whether strategic or market-driven, substantially affect a company's emissions profile. Companies expanding in different market, need emission scenarios that account for regional differences in renewable energy availability, carbon pricing, and sustainability expectations. Renovations and new construction represent critical intervention points for emission reductions. Incorporating low-carbon technologies during planned facility changes is more cost-effective than retrofitting. 
Key Actions:</t>
  </si>
  <si>
    <t>▪Portfolio Management Action- Develop a process for evaluating emissions impact of potential acquisitions and divestments, create an emissions integration plan for newly acquired businesses.</t>
  </si>
  <si>
    <t>▪Market Expansion Strategy Actions- Create an opportunity map that identifies favorable regions for low-carbon operations, develop market-specific decarbonization playbooks that account for local energy infrastructure, build relationships with regional renewable energy providers in advance of market entry.</t>
  </si>
  <si>
    <t>▪Facility Planning- Develop a facilities decarbonization roadmap aligned with renovation and replacement cycles, create design standards for new facilities that incorporate best-available low-carbon technologies, establish a carbon lock-in assessment for all major infrastructure decisions.</t>
  </si>
  <si>
    <t>By integrating these financing parameters into decarbonization planning, companies develop more comprehensive strategies that extend beyond technical feasibility to ensure financial viability. The interest rates and financing terms available through green bonds, climate bonds, sustainability-linked loans, and specialized equipment financing directly influence project viability. Implementing an internal cost of carbon transforms abstract climate risks into tangible financial metrics that align with corporate decision-making processes. Dedicated capital expenditure allocations and revolving sustainability funds create reliable, protected financing streams for decarbonization initiatives. These structured funding approaches ensure climate projects don't compete directly against core business investments, providing implementation certainty that spans multiple budget cycles. 
Key Actions:</t>
  </si>
  <si>
    <t>▪Develop a Green Financing Strategy-  Build relationships with financial institutions offering sustainability-linked loans and green bonds and Train finance teams on how to structure projects to maximize eligibility for favorable financing</t>
  </si>
  <si>
    <t>▪Establish an Internal Carbon Price-  If considering  internal cost of carbon- set a meaningful internal carbon price that reflects both current and anticipated future carbon costs</t>
  </si>
  <si>
    <t>▪Create Dedicated Funding Mechanisms- Establish a revolving sustainability fund that reinvests savings from completed projects. Develop multi-year funding commitments that transcend annual budget cycles for strategic projects</t>
  </si>
  <si>
    <t>Grid decarbonization timelines directly impact the emissions reduction potential of electrification initiatives. Organizations that model various grid transformation scenarios can properly time electrification investments to maximize carbon benefits while avoiding premature equipment transitions. By assessing technologies along a readiness spectrum, organizations can balance innovation with reliability, differentiating between proven solutions for immediate deployment and emerging technologies requiring pilot testing. Companies must assess current and projected availability of these resources when planning hard-to-abate emission reductions in operations like high-temperature industrial processes or heavy transport. companies must project how electrification, efficiency improvements, and production changes will reshape their energy profile over time. This analysis identifies potential constraints in utility capacity that could hinder decarbonization efforts and highlights opportunities to reduce peak demand through load shifting or storage. Companies must assess how permitting processes for new technologies or facility modifications might affect implementation schedules.
Key Actions:</t>
  </si>
  <si>
    <t>▪Grid Transition Planning- Map operations against regional grid decarbonization timelines, Explore power purchase agreements to secure renewable electricity, model impacts of different grid evolution scenarios on your targets.</t>
  </si>
  <si>
    <t>▪Pilot Program Development- Test promising technologies in controlled environments, implement structured evaluation and scaling processes, partner with technology providers to share implementation risk.</t>
  </si>
  <si>
    <t>▪Alternate Energy Sourcing- Identify regional alternative energy infrastructure development plans, select facilities best positioned for early alternative energy adoption, develop supplier partnerships to ensure future fuel access, create transition timelines aligned with projected fuel availability.</t>
  </si>
  <si>
    <t xml:space="preserve">▪Energy Demand Management- Forecast future energy needs incorporating all planned initiatives, engage early with utilities on capacity requirements, evaluate on-site generation and storage options, develop load flexibility strategies to optimize renewable integration. </t>
  </si>
  <si>
    <t>▪Regulatory Approach-  Create technology-specific regulatory roadmaps engage proactively with authorities on novel applications, establish relationships with regulators before beginning permit processes.</t>
  </si>
  <si>
    <t xml:space="preserve">Company should ensure their reduction planning accounts for the full complexity of energy efficiency impacts, process change effects, and regional grid variations.
Key Actions: </t>
  </si>
  <si>
    <t xml:space="preserve">Companies that strengthen their sustainability governance achieve better operational resilience, increased investor confidence, and improved long-term value creation.
Key Actions: </t>
  </si>
  <si>
    <t>Companies that strengthen their operation and maintenance standard achieve better operational resilience, prevent equipment failures to minimize operational disruption. 
Key Actions:</t>
  </si>
  <si>
    <t>▪Develop Preventive Maintenance Plan- Conduct comprehensive inventory and condition assessment of all critical equipment and systems, implement digital asset management system to track equipment specifications, maintenance history, and performance data, establish risk-based prioritization methodology for maintenance activities based on equipment criticality, condition, and performance impact, implement predictive maintenance technologies (vibration analysis, thermography, oil analysis) for critical equipment.</t>
  </si>
  <si>
    <t>▪Provide Training to Employees on Operation and Maintenance of New Technology- Develop comprehensive training curriculum covering both technical operations and energy efficiency best practices, implement digital training platforms with equipment-specific tutorials and troubleshooting guides, establish vendor partnerships for specialized training on proprietary equipment and systems, implement knowledge management system to capture institutional knowledge and best practices.</t>
  </si>
  <si>
    <t xml:space="preserve">▪Conduct  Leak Monitoring Program- Develop comprehensive leak detection protocol covering compressed air, steam, refrigerants, and process fluids, acquire appropriate leak detection equipment (ultrasonic detectors, thermal cameras, gas analyzers), establish regular leak detection survey schedule with defined scope and frequency, develop leak repair prioritization methodology based on energy/resource loss and repair complexity, develop employee awareness program to encourage leak reporting. </t>
  </si>
  <si>
    <t>▪Keep Record of Building Upgrades and Equipment Replacement- Implement centralized asset lifecycle management system integrating with maintenance records, create standardized documentation requirements for all equipment replacements and upgrades, develop replacement planning framework that incorporates energy efficiency opportunities.</t>
  </si>
  <si>
    <t xml:space="preserve">Updating project evaluation standards and procedures is crucial for companies as it ensures investment decisions properly account for sustainability factors like carbon emissions and energy efficiency, which increasingly impact financial performance and regulatory compliance.
Key Action: </t>
  </si>
  <si>
    <t>▪Update ROI Calculations and Modify Payback Period Requirements- Develop comprehensive valuation methodology for sustainability benefits beyond direct energy savings, establish methodology for quantifying sustainability co-benefits, develop sliding scale approval matrix based on strategic impact of decarbonization initiatives, establish governance structure for approving projects with extended payback periods.</t>
  </si>
  <si>
    <t xml:space="preserve">Companies should update their project evaluation standards and procedures to build internal capabilities through training, resources, certification, and subject matter experts because these elements create the necessary human capital foundation for successful decarbonization initiatives that otherwise would fail from lack of expertise.
Key Actions: </t>
  </si>
  <si>
    <t>Companies should update their project evaluation standards and procedures with a focus on procurement, equipment replacement, and supply chain collaboration because these operational areas represent critical leverage points for achieving significant emissions reductions while often delivering cost savings through improved efficiency and reduced resource use.
Key Actions:</t>
  </si>
  <si>
    <t>Companies should update their financial mechanisms for decarbonization because traditional capital allocation models systematically undervalue long-term climate benefits and overweigh short-term costs, effectively blocking critical emissions reduction initiatives.
Key Actions:</t>
  </si>
  <si>
    <t xml:space="preserve">Effective communication of decarbonization efforts is crucial because it builds stakeholder trust through transparency while simultaneously creating competitive advantage in a marketplace increasingly concerned with environmental impact.
Key Action: </t>
  </si>
  <si>
    <t>▪Training Employees on sustainability topics- Develop tiered sustainability curriculum tailored to different organizational levels and functions, implement regular board and C-suite briefings on climate science, policy trends, and market developments, develop case study library showcasing successful sustainability initiatives and lessons learned.</t>
  </si>
  <si>
    <t>▪Provide Resources and Tools- Develop centralized knowledge repository with methodologies, tools, and best practices, Develop standardized cost-benefit analysis templates for sustainability initiatives.</t>
  </si>
  <si>
    <t>▪Develop Workforce-  Create inventory of relevant sustainability certifications, develop internal recognition program for employees obtaining sustainability credentials.</t>
  </si>
  <si>
    <t>▪Designate Subject Matter Experts to Drive Strategic Initiatives- Identify and formally designate subject matter experts across key sustainability domains Implement allocation of protected time for experts to support strategic initiatives, develop cross-functional sustainability expert network with regular collaboration sessions.</t>
  </si>
  <si>
    <t xml:space="preserve">▪Engage Procurement Team- Establish formal renewable fuel procurement targets with timeline and accountability measures, implement purchasing guidelines prioritizing renewable and low-carbon fuel options, establish pilot projects to test renewable fuel alternatives in different operation. </t>
  </si>
  <si>
    <t>▪Educate and Develop Plan for Equipment Replacement- Create comprehensive inventory of energy-consuming equipment with efficiency ratings and end-of-life dates, develop database of best available technologies (BAT) for each equipment category, create proactive replacement schedule for equipment approaching end of life, develop technical specifications templates that prioritize energy efficiency and low emissions.</t>
  </si>
  <si>
    <t>▪Engage with Supply Chain- Conduct comprehensive Scope 3 emissions inventory to identify hotspots in supply chain, develop supplier engagement strategy with tiered approach based on emissions impact and relationship, establish collaboration platform for sharing best practices among key suppliers.</t>
  </si>
  <si>
    <t>▪Deploy Effective Financing Mechanisms- Conduct assessment of available green financing options suitable for company profile and project pipeline, develop internal expertise on green bond frameworks and certification requirements, establish internal carbon pricing mechanism with clear application guidelines for project evaluation, Implement energy-as-a-service or efficiency-as-a-service models for appropriate project types.</t>
  </si>
  <si>
    <t>▪Lower Barrier to Apply for Corporate Financing- Develop streamlined application process specifically for decarbonization initiatives, create standardized templates for common decarbonization project types, establish fast-track approval process for projects below defined threshold, implement pre-approved project categories requiring minimal justification, develop dedicated budget allocation for decarbonization initiatives exempt from standard competition.</t>
  </si>
  <si>
    <t xml:space="preserve">▪Develop External Communication- Create a dedicated sustainability section on the company website featuring case studies of successful decarbonization initiatives, develop a quarterly sustainability newsletter for investors, customers, and partners. </t>
  </si>
  <si>
    <t>▪Develop Internal Communication- Establish an employee sustainability portal on the intranet with access to training materials on decarbonization practices, submit their own ideas for emissions reduction, highlight teams making significant contributions to sustainability goals.</t>
  </si>
  <si>
    <t>▪Publicize Major Decarbonization Efforts - Engage in sustainability-focused speaking engagements at relevant industry conferences and climate action forums, develop a media kit highlighting your most innovative decarbonization initiatives.</t>
  </si>
  <si>
    <t>▪Leverage Sustainability Achievements for Industry Recognition- Develop a systematic approach to sustainability awards submissions, partner with industry associations to showcase your leadership.</t>
  </si>
  <si>
    <t>Total Reduction (%)</t>
  </si>
  <si>
    <t>Baseline</t>
  </si>
  <si>
    <t>Gap total</t>
  </si>
  <si>
    <t>ERP total</t>
  </si>
  <si>
    <t>Start Year Helper Column</t>
  </si>
  <si>
    <t>End Year Helper Column</t>
  </si>
  <si>
    <t>.</t>
  </si>
  <si>
    <t>Total</t>
  </si>
  <si>
    <t>Starting year (yyyy)</t>
  </si>
  <si>
    <t>Target Year (yyyy)</t>
  </si>
  <si>
    <t xml:space="preserve">Energy storage, grid resiliency and interactivity </t>
  </si>
  <si>
    <t>Fugitive, Mobile and process emission reduction</t>
  </si>
  <si>
    <t>OPTIMAL OR STRENGTH</t>
  </si>
  <si>
    <t>TASKS THAT ARE COMPLETED TO SATISFACTION</t>
  </si>
  <si>
    <t>Operations and maintenance standards and procedures</t>
  </si>
  <si>
    <t>Secure final buy-in from stakeholder and release plan</t>
  </si>
  <si>
    <t>Update organizational standards and procedures</t>
  </si>
  <si>
    <t>Establish scenario parameters</t>
  </si>
  <si>
    <t>Estimate future business portfolio changes</t>
  </si>
  <si>
    <t>Review emissions reduction measures</t>
  </si>
  <si>
    <t>Define scenarios</t>
  </si>
  <si>
    <t>Evaluate scenarios</t>
  </si>
  <si>
    <t>Identify and engage stakeholders </t>
  </si>
  <si>
    <t>Define evaluation criteria</t>
  </si>
  <si>
    <t>Resources</t>
  </si>
  <si>
    <t>Milestone</t>
  </si>
  <si>
    <t>Website URL</t>
  </si>
  <si>
    <t>Resource Description</t>
  </si>
  <si>
    <t>PDF link</t>
  </si>
  <si>
    <t>The GHG Protocol Corporate Accounting and Reporting Standard provides requirements and guidance for companies and other organizations preparing a corporate-level GHG emissions inventory.</t>
  </si>
  <si>
    <t xml:space="preserve">This document presents guidance for calculating scope 1 direct GHG emissions resulting from stationary combustion of fuels at owned or leased sources that are within an organization’s inventory boundary. This guidance applies to all organizations whose operations involve stationary combustion of fuel. </t>
  </si>
  <si>
    <t>The GRI Standards represent global best practice for reporting publicly on a range of economic, environmental and social impacts. Sustainability reporting based on the Standards provides information about an organization’s positive or negative contributions to sustainable development.</t>
  </si>
  <si>
    <t>Task 2:  Establish a GHG inventory management plan</t>
  </si>
  <si>
    <t>Task 2.1: GHG Protocol Corporate standard</t>
  </si>
  <si>
    <t xml:space="preserve">Task 2.2: Direct Emissions from Stationary Combustion Sources </t>
  </si>
  <si>
    <t>Task 2.2: Direct Emissions from Mobile Combustion Source</t>
  </si>
  <si>
    <t xml:space="preserve">Task 2.2: Direct Fugitive Emissions from Refrigeration, Air Conditioning, Fire Suppression, and Industrial Gases  </t>
  </si>
  <si>
    <t>Task 2.2: Indirect Emissions from Purchased Electricity</t>
  </si>
  <si>
    <t>Task 2.3: GRI 305: Emissions 2016</t>
  </si>
  <si>
    <t>Task 3: Set GHG reduction target</t>
  </si>
  <si>
    <t>Task 3.2: SBTi Corporate Net Zero Standard</t>
  </si>
  <si>
    <t>Task 3.3: Climate Group RE100</t>
  </si>
  <si>
    <t xml:space="preserve">Task 3.4: Energy Intensity Baselining and Tracking Guidance </t>
  </si>
  <si>
    <t>The SBTi’s Corporate Net-Zero Standard provides the guidance and tools companies need to set science-based net-zero targets. The SBTi’s Corporate Net-Zero Standard is the world’s only framework for corporate net-zero target setting in line with climate science. It includes the guidance, criteria, and recommendations companies need to set science-based net-zero targets consistent with limiting global temperature rise to 1.5°C.</t>
  </si>
  <si>
    <t>RE100 is a global initiative bringing together the world’s most influential businesses committed to using 100% renewable electricity in their operations.</t>
  </si>
  <si>
    <t>The Energy Intensity Baselining and Tracking Guidance for the Better Buildings, Better Plants Program helps companies meet the program’s reporting requirements by describing the steps necessary to develop an energy consumption and energy intensity baseline and to calculate consumption and intensity changes over time.</t>
  </si>
  <si>
    <t>This guide outlines how to evaluate and set supplier engagement targets, implement related initiatives and ensure companies fully understand what it takes to achieve these goals</t>
  </si>
  <si>
    <t>Task 2.2: ISO 50001 Energy Management</t>
  </si>
  <si>
    <t>This guide helps in identifying your organization's Significant Energy Uses (SEUs) by evaluating energy consumption patterns and improvement opportunities to focus limited resources on energy systems that have substantial energy consumption and/or considerable potential for performance improvement.</t>
  </si>
  <si>
    <t xml:space="preserve">Task 3: Benchmark Significant Greenhouse Gas Emitters (SGEs) </t>
  </si>
  <si>
    <t>Thumbnail EPI Benchmarking Guide Benchmarking Industrial Energy Performance explains and visualizes energy benchmarking and how to benchmark plant performance with ENERGY STAR Energy Performance Indicators (EPIs). It depicts how EPIs are created and the value a company receives when comparing the energy performance of its plants to plants in its industry with similar characteristics.</t>
  </si>
  <si>
    <t>The Energy Management System implementation methodology presented delivers measurable improvements in energy efficiency, reduces greenhouse gas emissions, and generates cost savings through practical, sustainable approaches that organizations can readily maintain over time.</t>
  </si>
  <si>
    <t xml:space="preserve">Task 4: Select systems for further analysis </t>
  </si>
  <si>
    <t>Task 3.1: Benchmarking Industrial Energy Performance</t>
  </si>
  <si>
    <t>Task 3.2: Raytheon Technologies Energy Management Guidebook</t>
  </si>
  <si>
    <t>Task 4.1: Pathways to Commercial Liftoff</t>
  </si>
  <si>
    <t xml:space="preserve">Liftoff report details the key fact base to map out the path to commercial liftoff for a single technology (e.g., advanced nuclear) or suite of technologies targeted at a single sector (e.g., decarbonizing chemicals and refining). Across reports, the components of this fact base include: overview, current state of technologies and markets, pathway to liftoff, challenges to liftoff and potential solutions, and metrics to track progress. </t>
  </si>
  <si>
    <t>Task 1.1: Energy Efficiency Measures</t>
  </si>
  <si>
    <t>Task 1.2: Leveraging Electrification</t>
  </si>
  <si>
    <t>Task 1.2: Electrification Working Group</t>
  </si>
  <si>
    <t>Task 1.4: Utility Engagement Playbook for Industrial Customers</t>
  </si>
  <si>
    <t>Task 1.5: Low-Emission Alternatives to Industrial Thermal Loads</t>
  </si>
  <si>
    <t>Task 1.7: Case Study Webinar Recording: AstraZeneca &amp; Vanguard Renewables U.S. RNG Agreement</t>
  </si>
  <si>
    <t>Task 1.8: Portfolio Screening and Prioritization for Onsite Energy</t>
  </si>
  <si>
    <t>Task 1.10: Transitioning to Low-GWP Alternatives</t>
  </si>
  <si>
    <t>Task 1.10: Best Practices for Replacing HFCs with Low-GWP Refrigerants</t>
  </si>
  <si>
    <t>Task 1.11: Pathways to Commercial Liftoff</t>
  </si>
  <si>
    <t>Task 1.12: Better Plants Trainings</t>
  </si>
  <si>
    <t>Integrating electrification on the path to efficiency can eliminate direct emissions for both commercial buildings and industrial facilities. Energy generated by electric alternatives can leads to immediate emissions reductions and a more resilient portfolio.</t>
  </si>
  <si>
    <t xml:space="preserve">Utilizing highly efficient technologies to augment or control building and facility systems is a cost-effective solution to accomplish efficiency measures. </t>
  </si>
  <si>
    <t>The Portfolio-level Electrification Better Climate Challenge working group facilitates knowledge sharing of facility electrification strategies, implementation techniques, lessons learned, and cost-benefit analyses across building portfolios through cohort-based technical sessions supported by DOE experts.</t>
  </si>
  <si>
    <t>The Utility Engagement Playbook for Industrial Customers: Addressing Power Sector Barriers to Electrification, prepared for the RTC by Synapse Energy Economics and the World Wildlife Fund, provides a comprehensive roadmap industrial companies can use to overcome electrification barriers by engaging utilities and policymakers.</t>
  </si>
  <si>
    <t>Task 1: Facility level GHG emissions reduction assessment planning</t>
  </si>
  <si>
    <t>This fact sheet provides a comprehensive framework for organizations to screen and prioritize facilities across their portfolio for onsite energy projects using qualitative criteria, data modeling tools, and technology-specific indicators to identify the most promising investment opportunities for detailed feasibility analysis.</t>
  </si>
  <si>
    <t>The "Low-Emission Alternatives to Industrial Thermal Loads" working group fosters collaboration among partners to explore, discuss, and accelerate innovative low-emission technologies (like energy efficiency, electrification, low-carbon fuels, and carbon capture) for decarbonizing industrial thermal processes.</t>
  </si>
  <si>
    <t>This resource provides an overview of strategies and technologies for transitioning from high-GWP hydrofluorocarbons (HFCs) to low-GWP refrigerants. It includes discussions on the environmental benefits, technical challenges, and best practices for implementing low-GWP refrigerants in various applications, such as space conditioning, water heating, and commercial refrigeration</t>
  </si>
  <si>
    <t>This resource provides detailed information on alternative refrigerants with low global warming potential (GWP) to replace high-GWP hydrofluorocarbons (HFCs) in residential and commercial air conditioning systems, including chillers. It highlights the environmental impact of HFCs, which are potent greenhouse gases, and discusses the increasing availability of low-GWP alternatives</t>
  </si>
  <si>
    <t>Task 2.1: Technology Focus Area</t>
  </si>
  <si>
    <t xml:space="preserve">Task 2.2: Renewable Energy </t>
  </si>
  <si>
    <t>Task 2.5: Combined Heat and Power (CHP) Deployment Resources</t>
  </si>
  <si>
    <t>Task 2.4:Alternative Fuel Data Center</t>
  </si>
  <si>
    <t>Task 2.5: Demand Response in Industrial Facilities: Peak Electric Demand</t>
  </si>
  <si>
    <t>Task 2.6: Industrial Technology Validation Program</t>
  </si>
  <si>
    <t>Task 2: Portfolio level GHG emissions reduction assessment planning</t>
  </si>
  <si>
    <t>This link provides resources to help organizations incorporate renewable energy solutions like solar and wind to enhance sustainability and grid resiliency on site.</t>
  </si>
  <si>
    <t>This link provides valuable tools, guides, and resources to help manufacturers and wastewater treatment agencies achieve ambitious energy, water, waste, and emissions reduction goals.</t>
  </si>
  <si>
    <t>This resource outlines various training programs offered by the U.S. Department of Energy to help participants identify and implement energy-saving projects and best practices in their facilities.</t>
  </si>
  <si>
    <t>The Alternative Fuels Data Center (AFDC) provides information, data, and tools to help fleets, fuel providers, policymakers, cities, states, Clean Cities and Communities coalitions, and other transportation decision makers find ways to reach their energy, environmental, and economic goals through the use of alternative and renewable fuels, advanced vehicles, and other fuel-saving strategies.</t>
  </si>
  <si>
    <t>This resource provides comprehensive guidance on how industrial facilities can participate in demand response programs. It covers strategies for managing peak electrical demand, optimizing energy usage, and improving overall energy efficiency. The document also includes case studies, best practices, and technical recommendations to help facilities implement effective demand response measures and achieve significant cost savings and sustainability benefits.</t>
  </si>
  <si>
    <t>This link provides a comprehensive collection of resources to support the deployment of CHP systems. These resources include detailed databases of CHP installations, fact sheets on various CHP technologies and market sectors, reports on the benefits and market potential of CHP, and webinars and presentations that provide insights into best practices and case studies. The page also features the Packaged CHP eCatalog, a searchable database of commercially available CHP systems recognized by the DOE for their performance standards</t>
  </si>
  <si>
    <t>This resource details how the U.S. Department of Energy's Industrial Efficiency &amp; Decarbonization Office assesses the performance of emerging technologies in industrial environments to accelerate their adoption, optimize processes, and enhance competitiveness</t>
  </si>
  <si>
    <t>Milestone 4: Establish scenario parameters</t>
  </si>
  <si>
    <t>Task 1: Establish scenario parameters</t>
  </si>
  <si>
    <t>Task 1.1: Industrial Decarbonization Roadmap</t>
  </si>
  <si>
    <t>Task 1.2: TCFD Climate Scenario Analysis</t>
  </si>
  <si>
    <t>Task 1.2: TCFD Recommendations</t>
  </si>
  <si>
    <t>This resource outlines strategies to achieve net-zero greenhouse gas emissions in the industrial sector by 2050. It identifies key pathways for reducing emissions through innovation in manufacturing processes, focusing on energy efficiency, industrial electrification, low-carbon fuels, and carbon capture technologies</t>
  </si>
  <si>
    <t>This link provides detailed guidance on how organizations can use climate scenario analysis to assess and disclose climate-related risks and opportunities in line with the Task Force on Climate-related Financial Disclosures (TCFD) recommendations</t>
  </si>
  <si>
    <t>This guide outlines voluntary guidelines for organizations to disclose climate-related financial risks and opportunities. These recommendations are structured around four key areas: governance, strategy, risk management, and metrics and targets</t>
  </si>
  <si>
    <t>• Your company's robust Greenhouse Gas Inventory Management Plan demonstrates commitment to data integrity and transparency, creating a foundation for your emission reduction strategy. The tracking systems you've implemented across all emission sources, coupled with rigorous verification protocols, provide the reliable metrics needed to set meaningful targets and measure genuine progress toward your sustainability goals.</t>
  </si>
  <si>
    <t>• Your company's strategic approach to prioritizing energy projects based on carefully selected characteristics demonstrates an understanding of how to maximize both environmental impact and business value.</t>
  </si>
  <si>
    <t>• Your company's meticulous identification and quantification of significant greenhouse gas emission sources demonstrates commitment to data-driven sustainability planning. By thoroughly mapping your emission landscape across all operational processes, you've established the critical foundation needed to develop targeted, high-impact reduction strategies that address your organization's unique environmental footprint.</t>
  </si>
  <si>
    <t>• Your company's benchmarking efforts against industry peers and similar facilities demonstrate commitment to performance excellence and continuous improvement in emissions management. By analyzing how your operations compare to industry standards, you've gained valuable insights that not only identify specific opportunities for emission reductions but also establish realistic yet ambitious targets within in your sector.</t>
  </si>
  <si>
    <t xml:space="preserve">• Your company's comprehensive approach to emission reduction demonstrates thoroughness, from detailed facility-level assessments to the identification of diverse mitigation strategies spanning energy efficiency, electrification, and fuel-switching initiatives. By conducting the necessary infrastructure upgrade evaluations and exploring on-site renewable energy opportunities, you've created a holistic emission reduction plan that addresses both immediate improvements and long-term sustainability transformation, positioning your organization on path to achieve your goal. </t>
  </si>
  <si>
    <t>• Your company's portfolio-level greenhouse gas assessment demonstrates strategic vision, successfully identifying large-scale renewable energy procurement opportunities that will significantly advance your sustainability goals. By complementing these power purchase agreements with cross-functional operational efficiencies across facilities, you've created a comprehensive emission reduction plan that balances transformative external partnerships with internal process improvements, maximizing both environmental impact and business value.</t>
  </si>
  <si>
    <t xml:space="preserve"> Greenhouse gas (GHG) emissions are produced by mobile sources as fuels are burned. Carbon dioxide (CO2), methane (CH4), and nitrous oxide (N2O) are emitted directly through the combustion of fuels in different types of mobile equipment. This includes on-road vehicles such as cars, trucks and buses, and non-road vehicles such as aircraft, ships and boats, locomotives, forklifts, and construction or agricultural equipment. This guidance helps to evaluate direct mobile emissions.</t>
  </si>
  <si>
    <t>An important category of scope 1 direct greenhouse gas (GHG) are fugitive emissions, which result from the direct release to the atmosphere of GHG compounds from various types of equipment and processes. This guidance document focuses on several fugitive emissions sources that are common for organizations in many sectors: refrigeration and air conditioning systems, fire suppression systems, and the purchase and release of industrial gases. This guidance helps evaluate those fugitive emissions</t>
  </si>
  <si>
    <t>Indirect emissions are those that result from an organization’s activities but are actually emitted from sources owned by other entities. Scope 2 emissions are indirect emissions that occur through the use of purchased electricity, steam, heat, or cooling. Steam, heat (in the form of hot water), and cooling (in the form of chilled water) can be delivered to an organization’s facilities through a localized grid called a district energy system or through a direct line connection. This guidance helps evaluate those emissions.</t>
  </si>
  <si>
    <t>Financing scenarios are still being identified and evaluated to fund ERP</t>
  </si>
  <si>
    <t>Cost parameters are still being identified and evaluated to fund ERP</t>
  </si>
  <si>
    <t>No financing scenarios are currently being considered to fund our ERMs</t>
  </si>
  <si>
    <t>Total estimated % GHG reduction</t>
  </si>
  <si>
    <t>M1 Set goal</t>
  </si>
  <si>
    <t>TOTAL SCORE FOR MILESTONE 5</t>
  </si>
  <si>
    <t>Data for identified ERM's are still being collected, categorized, and evaluated</t>
  </si>
  <si>
    <t>• Your  sophisticated scenario analysis not only strengthens your ability to navigate transition risks but also positions your organization to capitalize on emerging opportunities as markets and technologies evolve. Your commitment to understanding these complex interdependencies reflects true leadership in corporate climate action and creates a foundation for achieving meaningful emissions reductions.</t>
  </si>
  <si>
    <t>• Your commitment to excellence is evident in the comprehensive updates to your governance standards, operations procedures, and project frameworks that align with emission reduction goals. The thoughtful integration of updated training programs and procurement practices demonstrates your organization's dedication to sustainable business practices at every level. Your improved financing and communications standards create a solid foundation for long-term environmental stewardship that benefits your stakeholders.</t>
  </si>
  <si>
    <t>• Your organization demonstrates clear financing methods for sustainability initiatives, ensuring that environmental goals receive the necessary resources for successful implementation. Your deployment schedule for emission reduction projects reflects thorough planning and a genuine dedication to achieving meaningful environmental outcomes within defined timeframes. Your detailed deployment schedule for emission reduction projects reflects thorough planning and implementation within defined timeframes.</t>
  </si>
  <si>
    <t xml:space="preserve">• Your commitment to inclusive decision-making is exemplified by the meaningful stakeholder engagement process you implemented while developing your emission reduction plan. By actively involving diverse perspectives from with and external to your company has helped you create a  more robust and well-rounded sustainability strategy that addresses multiple priorities and concerns. The transparent release of your finalized plan demonstrates accountability and builds trust with all stakeholders, setting a strong foundation for collaborative implementation. </t>
  </si>
  <si>
    <t xml:space="preserve">• Your organization demonstrates commitment to turning sustainability goals into tangible actions through your comprehensive work plan for implementing emission reduction projects. The detailed roadmap you've developed, complete with clear milestones, resource allocation, and accountability measures provides a practical framework that will guide your successful transition to more sustainable operations. This thorough planning approach significantly increases the likelihood of achieving your emission reduction targets. </t>
  </si>
  <si>
    <t>• Your organization's dedication to data-driven sustainability is exemplified by your rigorous verification of environmental benefits across your sustainability initiatives. By implementing comprehensive measurement and verification protocols, you provide credible evidence of your positive environmental impact while ensuring transparency and accountability to stakeholders.</t>
  </si>
  <si>
    <t xml:space="preserve">• Your organization's thorough documentation of processes, key learnings, and best practices from sustainability project implementation demonstrates commitment to continuous improvement and knowledge sharing. By capturing these valuable insights, you're creating an invaluable resource that will enhance future initiatives within your organization while potentially setting industry standards for emission reduction excellence. </t>
  </si>
  <si>
    <t>• Your commitment to maintaining a dynamic and effective sustainability strategy is exemplified by your disciplined approach to reviewing and updating your emission reduction plan. This proactive revision cycle ensures your sustainability initiatives remain aligned with your evolving business growth, technological advancements, and changing market conditions while continuously improving your environmental performance. By treating your emission reduction plan as a living document rather than a static commitment, you demonstrate exceptional environmental leadership that balances long-term climate goals with the practical realities of your business development.</t>
  </si>
  <si>
    <t>Positive Feedback</t>
  </si>
  <si>
    <t>Areas of Improvement</t>
  </si>
  <si>
    <t>Task 1: Identify and Engage Stakeholders  </t>
  </si>
  <si>
    <t>general text : Your emission reduction approach demonstrates corporate environmental leadership.</t>
  </si>
  <si>
    <t xml:space="preserve">Task 2: Establish a GHG Inventory Management Plan </t>
  </si>
  <si>
    <t xml:space="preserve">general text :To strengthen your emission reduction planning, we recommend </t>
  </si>
  <si>
    <t xml:space="preserve">Task 3: Set GHG Reduction Target </t>
  </si>
  <si>
    <t xml:space="preserve">Task 4: Define Evaluation Criteria </t>
  </si>
  <si>
    <t xml:space="preserve">Task 1: Select Characteristics for the Portfolio </t>
  </si>
  <si>
    <t>Task 2: Identify and quantify GHG emissions for Significant Greenhouse Gas Emitters (SGEs)</t>
  </si>
  <si>
    <t xml:space="preserve">Task 3: Benchmark SGEs </t>
  </si>
  <si>
    <t>Task 4: Select systems for further analysis</t>
  </si>
  <si>
    <t>Milestone 3: Assess Measure </t>
  </si>
  <si>
    <t>Task 1: Facility level GHG emissions reduction assessment planning </t>
  </si>
  <si>
    <t>Milestone 4: Develop Scenarios  </t>
  </si>
  <si>
    <t>Task 1: Establish Scenario Parameters</t>
  </si>
  <si>
    <t>Task 2: Estimate Future Business Portfolio Changes</t>
  </si>
  <si>
    <t xml:space="preserve">Task 3 : Review Emission Reduction Measures </t>
  </si>
  <si>
    <t>Task 4: Define Scenario</t>
  </si>
  <si>
    <t>Task 5: Evaluate Scenarios</t>
  </si>
  <si>
    <t>Task 1: Assess scenarios and select pathway</t>
  </si>
  <si>
    <t>Task 2: Update Organizational Standards and Procedures</t>
  </si>
  <si>
    <t>Task 3: Define financing and project deployment schedule</t>
  </si>
  <si>
    <t>Task 4:  Secure Final Buy-in from Stakeholder and Release Plan</t>
  </si>
  <si>
    <t xml:space="preserve">Task 1: Develop work plan </t>
  </si>
  <si>
    <t>Task 2: Measure and verify GHG emissions reductions</t>
  </si>
  <si>
    <t>Task 3: Document and share key learnings from project implementation</t>
  </si>
  <si>
    <t>Task 4: Continuous evaluation of circumstances and revision of ERP</t>
  </si>
  <si>
    <t xml:space="preserve">Milestone 6 - Ongoing Implementation </t>
  </si>
  <si>
    <t>ERP Feedback</t>
  </si>
  <si>
    <t>•Regular 2-4 year ERP system updates ensure alignment with evolving energy markets, incorporate emerging technologies and efficiency standards, prevent performance degradation, optimize resource allocation, reduce carbon footprint, and enhance adaptability to market disruptions.</t>
  </si>
  <si>
    <t>•Companies benefit from broader stakeholder engagement, including both internal teams (executives, finance, engineers) and external experts to ensure organizational alignment and bring specialized knowledge to your initiatives.</t>
  </si>
  <si>
    <t>•Consider developing a more robust GHG inventory by establishing a Protocol-aligned accounting framework that thoroughly maps all entities and operations while implementing a centralized tracking system with regular reporting schedules.</t>
  </si>
  <si>
    <t>•Set more ambitious emission reduction targets that could drive innovation while potentially reducing costs through optimized processes.</t>
  </si>
  <si>
    <t>•A standardized assessment matrix would help prioritize projects based on reduction potential, costs, ROI, and strategic alignment, while considering valuable co-benefits beyond carbon reduction.</t>
  </si>
  <si>
    <t>•Identifying key characteristics within your portfolio to establish clear prioritization criteria. This would help focus your resources on the most impactful initiatives first.</t>
  </si>
  <si>
    <t>•Consider conducting a thorough assessment to identify significant systems and processes with high emissions, as targeting these areas would yield substantial reductions.</t>
  </si>
  <si>
    <t>•Implementing benchmarking activities would allow you to compare your performance against industry best practices and standards, revealing important improvement opportunities and setting appropriate targets.</t>
  </si>
  <si>
    <t>•Conduct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t>
  </si>
  <si>
    <t xml:space="preserve">•Establish multiple scenarios that could affect your emission reduction efforts. Developing these alternative futures would create more resilient planning that accounts for uncertainties in technology, markets,cost and regulations, and other external factors. </t>
  </si>
  <si>
    <t>•Identify potential business portfolio changes—such as acquisitions, divestitures, or new product lines—could significantly impact your emissions profile.</t>
  </si>
  <si>
    <t>•Conduct a thorough assessment of future scenarios to better understand potential challenges and opportunities. This analysis would help you develop a more adaptive plan capable of responding to changing conditions.</t>
  </si>
  <si>
    <t>•Update your company standards around financing, governance, communication, and training to fully support implementation.</t>
  </si>
  <si>
    <t>•Clearly define your financing strategy for the plan, including potential funding sources and investment criteria. Developing a detailed project deployment schedule with clear timelines, responsibilities, and dependencies would significantly improve execution.</t>
  </si>
  <si>
    <t>•Develop a detailed work plan that clearly outlines how projects will be deployed across your organization. This should include specific timelines, responsibilities, resource requirements, and dependencies.</t>
  </si>
  <si>
    <t>•Consider establishing a robust measurement and verification system to accurately track emission reductions achieved by each initiative, which would provide critical data on effectiveness and ROI.</t>
  </si>
  <si>
    <t>•Create formal process to document and share key learnings from project implementation throughout your organization, helping to improve future projects and build institutional knowledge.</t>
  </si>
  <si>
    <t>•Implement a continuous evaluation mechanism that would allow you to regularly assess whether changes or updates are needed to your emission reduction plan based on implementation experiences, new technologies, or changing business conditions.</t>
  </si>
  <si>
    <t>•The portfolio-level assessment you've conducted has effectively identified valuable cross-functional energy efficiency opportunities and best practices that can be leveraged throughout your operations. This enterprise-wide perspective creates powerful synergies and knowledge-sharing that amplify your impact. Your corporate-wide renewable energy purchasing strategy shows commitment to fundamental energy transition principles while likely achieving economies of scale. Particularly impressive is your inclusion of dedicated strategies for both mobile and fugitive emissions, addressing important sources that companies often overlook.</t>
  </si>
  <si>
    <t>•Your proactive identification of potential business portfolio changes shows sophisticated planning that integrates sustainability with core business strategy.</t>
  </si>
  <si>
    <t>•Your strategic foresight in assessing future scenarios has resulted in a highly adaptive plan.</t>
  </si>
  <si>
    <t>•The comprehensive updates to company standards in financing, governance, communication, and training show strong systems integration. You've established clear performance metrics with effective tracking methods to measure progress.</t>
  </si>
  <si>
    <t>•Your well-developed project deployment schedule demonstrates practical implementation planning with realistic timelines. You have clearly defined your financing strategy for the plan, including potential funding sources and investment criteria</t>
  </si>
  <si>
    <t>•You've successfully secured stakeholder buy-in throughout the organization, which is critical for long-term success.</t>
  </si>
  <si>
    <t>•By developing a comprehensive work plan for deployment, you've created clear pathways from strategy to action with specific timelines, responsibilities, and resource allocations.</t>
  </si>
  <si>
    <t>•Your measurement and verification system for tracking emission reductions shows commitment to accountability and data-driven management, enabling precise understanding of each initiative's effectiveness and ROI.</t>
  </si>
  <si>
    <t>•Your formal process for documenting and sharing key learnings from project implementation builds valuable institutional knowledge and improves future projects.</t>
  </si>
  <si>
    <t>•Your continuous evaluation mechanism for assessing needed changes demonstrates sophisticated adaptive management that ensures your plan remains relevant despite evolving technologies, business conditions, and opportunities.</t>
  </si>
  <si>
    <t>•The early engagement of diverse stakeholders from both internal teams and external experts has created a well-rounded strategy with strong organizational alignment.</t>
  </si>
  <si>
    <t>•Your GHG inventory isaligned with GHG Protocol with comprehensive operational mapping, and robust tracking systems ensuring data accuracy and transparency.</t>
  </si>
  <si>
    <t xml:space="preserve">•The ambitious targets you've established strategically position your company in an increasingly eco-conscious marketplace. </t>
  </si>
  <si>
    <t>•Your project prioritization framework effectively directs resources to the most impactful initiatives.</t>
  </si>
  <si>
    <t>•By identifying key portfolio characteristics for prioritization, you've created a targeted framework that will maximize impact and resource efficiency.</t>
  </si>
  <si>
    <t>•Your thorough assessment of high-emission systems and processes shows a commitment to addressing the most significant sources first, which will drive meaningful results.</t>
  </si>
  <si>
    <t>•The benchmarking work you've conducted to compare performance against industry best practices and standards demonstrates both diligence and ambition in your planning process.</t>
  </si>
  <si>
    <t>AREAS THAT ARE PROFICIENT IN YOUR ERP</t>
  </si>
  <si>
    <t>ERP Enhancement Areas</t>
  </si>
  <si>
    <t xml:space="preserve">Not relevant to our company </t>
  </si>
  <si>
    <t xml:space="preserve">     U.S. Department of Energy</t>
  </si>
  <si>
    <t>ERP Gap Analysis Tool</t>
  </si>
  <si>
    <t>Quality teams</t>
  </si>
  <si>
    <t>Yes, but need to improve quality</t>
  </si>
  <si>
    <t>MILESTONE</t>
  </si>
  <si>
    <t>Milestone 6</t>
  </si>
  <si>
    <t>To strengthen your emission reduction planning, we recommend the following</t>
  </si>
  <si>
    <t>Your emission reduction approach demonstrates corporate environmental leadership.</t>
  </si>
  <si>
    <t>Milestone Feedback (Negative left, Positive right)</t>
  </si>
  <si>
    <t>• Your company has demonstrated leadership by actively involving both internal teams and external stakeholders in developing a comprehensive emission reduction strategy that addresses diverse perspectives and concerns.</t>
  </si>
  <si>
    <r>
      <t xml:space="preserve">How are SGEs prioritized for further analysis? </t>
    </r>
    <r>
      <rPr>
        <i/>
        <sz val="14"/>
        <color theme="0" tint="-0.499984740745262"/>
        <rFont val="Arial"/>
        <family val="2"/>
      </rPr>
      <t>(Type in your answer)</t>
    </r>
    <r>
      <rPr>
        <sz val="14"/>
        <rFont val="Arial"/>
        <family val="2"/>
      </rPr>
      <t xml:space="preserve"> </t>
    </r>
    <r>
      <rPr>
        <i/>
        <sz val="14"/>
        <color theme="3" tint="0.249977111117893"/>
        <rFont val="Arial"/>
        <family val="2"/>
      </rPr>
      <t>{Please rank the following from 1 (highest priority) to 4 (lowest priority)}</t>
    </r>
  </si>
  <si>
    <t xml:space="preserve">Milestone 6: Ongoing  Implementation </t>
  </si>
  <si>
    <r>
      <t>(Type in your answer)</t>
    </r>
    <r>
      <rPr>
        <sz val="12"/>
        <color theme="4"/>
        <rFont val="Arial"/>
        <family val="2"/>
      </rPr>
      <t xml:space="preserve"> {Please rank the following from 1 (highest priority) to 4 (lowest priority)}</t>
    </r>
  </si>
  <si>
    <t>This page provides key references and supporting materials to guide the development and implementation of your emissions reduction strategy. The resources listed here offer comprehensive standards, methodologies, and best practices for identifying, calculating, and reporting emissions across various organizational sources and activities.
These carefully selected references support organizations in aligning with internationally recognized frameworks while ensuring consistency, accuracy, and transparency throughout their climate action planning journey. From initial baseline assessments to long-term monitoring, these tools provide the foundation needed to create effective and credible emissions reduction plans that meet stakeholder expectations and regulatory requirements.</t>
  </si>
  <si>
    <t>Task 4: Define scenarios</t>
  </si>
  <si>
    <t>Milestone 5: Establish scenario parameters</t>
  </si>
  <si>
    <t>Task 2: Update organizational standards and procedures</t>
  </si>
  <si>
    <t>Task 4: Secure final buy-in from stakeholder and release plan</t>
  </si>
  <si>
    <t xml:space="preserve">Milestone 6: Ongoing Implementation </t>
  </si>
  <si>
    <t>Type in your answers (open ended text response) or (numeric response)</t>
  </si>
  <si>
    <t>Quick brown fox jumps over the lazy dog
30%</t>
  </si>
  <si>
    <t>Organization can pursue carbon capture and sequestration where applicable in their process to meet their goal. 
Key Actions:
1) Evaluate post-combustion, pre-combustion, and oxy-fuel combustion capture technologies, retrofit existing facilities with appropriate carbon capture equipment, update faccilities with integrated carbon capture capabilities, evaluate sequestration strategies. 
2)Form alliances with technology providers specializing in carbon capture, collaborate with nearby industries for shared carbon transport and storage infrastructure
3)Explore available tax incentives, grants, and subsidies for CCS projects, develop carbon credit generation and monetization strategies, secure financing through green bonds or sustainability-linked loans</t>
  </si>
  <si>
    <t>Organization can impement energy efficiency measures and operational efficiency (industry best practices) across all their facilities
Key Actions:
1) Develop standard operating procedures (SOPs) for energy-efficient operations, train operators and maintenance staff on energy-efficient practices, implement predictive maintenance programs to prevent efficiency losses, apply lean manufacturing principles to reduce waste and energy consumption
2) Implement building managemnt systems to monitor perfrmance, create an energy management system aligned with ISO 50001 standards, focus on common systems in all facilities such as HVAC system, lighting, compressed air system</t>
  </si>
  <si>
    <t>Successful ERP planning requires engaging both internal stakeholders (including executive leadership, finance, sustainability, and project management teams) and external stakeholders (such as local communities, utilities, and government representatives) early in the process. Early stakeholder engagement helps organizations identify opportunities, avoid unrealistic strategies, and build relationships that benefit long-term plan implementation.
A) Executive leadership-Executive leadership are individuals who manage or direct employees in an organization to influence and guide these individuals.
B) Facility Leadership - Facility leadership involves guiding and motivating teams to effectively manage and optimize facilities/factories/plant, ensuring they meet organizational needs and contribute to overall business goals.
C) A financing team - Is a group of professionals within an organization responsible for managing the company's financial operations, including accounting, budgeting, financial reporting, analysis, cash management, investments, and financial planning, ultimately ensuring the organization's financial health and stability.
D) Environmental or sustainability teams - Groups of staff focused on creating a culture of sustainability within an organization, focusing on specific departments or units to implement and promote sustainable practices.
E) A Real Estate and Building Maintenance team - This group focuses on maintaining and preserving the value of properties, encompassing tasks like repairs, cleaning, landscaping, and ensuring the building's systems function correctly.
F) An operational maintenance team - This group is responsible for ensuring the smooth and efficient operation of assets, infrastructure, and facilities by performing routine maintenance, addressing faults, and implementing proactive maintenance strategies to maintain equipment and systems in optimal condition.
G) A procurement team - This is a group of individuals responsible for the strategic process of sourcing and acquiring goods and services, focusing on long-term benefits and relationships, and ensuring supply chain efficiency.
H) A Project Management Team - This is a group of individuals responsible for planning, executing, monitoring, and controlling a project to ensure its successful completion, typically including a project manager and various team members with diverse skills and expertise.
I) A communications team - This is a group of professionals within an organization responsible for managing and executing all internal and external communication activities, including media relations, public relations, and internal communications. 
J) A legal team - This is a group of legal professionals, including lawyers, legal assistants, and paralegals, who work together to provide legal advice, representation, and support to an organization or client.
K) A Research and Development (R&amp;D) team - This is a specialized group focused on innovating, creating new products or processes, and improving existing ones through research, experimentation, and development activities.
L) A "quality team" or "quality management team" - This is a group of individuals responsible for ensuring and improving the quality of products or services within an organization, often through implementing and maintaining quality management systems.</t>
  </si>
  <si>
    <t>Task 1: Identify and engage stakeholders </t>
  </si>
  <si>
    <t>Task 1.1: Designing Impactful engagement</t>
  </si>
  <si>
    <t>Common Threads seeks to provide guidance that will enable companies to better engage their external stakeholders, address their material issues and strengthen their business strategies.</t>
  </si>
  <si>
    <t>Task 4.1: Annual Energy Outlook 2023</t>
  </si>
  <si>
    <t>The Annual Energy Outlook 2023 (AEO2023) explores long-term energy trends in the United States.</t>
  </si>
  <si>
    <t>Task 4.2: Better building program - Financing Navigator</t>
  </si>
  <si>
    <t>This primer serves as an introduction to the challenges and opportunities in energy finance for the industrial sector. It provides case studies and other resources to help companies in the sector take advantage of innovative financing strategies.</t>
  </si>
  <si>
    <t>Task 4.3: The pathway to: clean hydrogen commercial lift off</t>
  </si>
  <si>
    <t>Task 4.3: Greening of the grid</t>
  </si>
  <si>
    <t>This resource is a video, an excerpt from a series of peer exchanges hosted by the Advanced Manufacturing Office and the Better Buildings Better Plants Low Carbon Pilot. Take a deeper look at the U.S. Energy Information Administration’s electricity market projects through 2050 and the U.S. Clean Power market outlook on a 10-year horizon.</t>
  </si>
  <si>
    <t>Clean hydrogen plays a key role in the decarbonization of both industrial sectors, like steelmaking and petrochemical processes, and transportation sectors, like aviation fuels and heavy-duty trucking. It may also serve as a key long-duration storage technology to meet rising electricity demand. It can be produced using different technologies, including but not limited to: electrolysis powered by clean electricity, natural gas reforming with carbon capture processes, methane pyrolysis, co-production with chlor-alkali, and even mining, as clean hydrogen can be formed geologically underground.</t>
  </si>
  <si>
    <t>This article is for disclosing organizations and outlines the resources available for companies disclosing through CDPs corporate questionnaires.</t>
  </si>
  <si>
    <t>Task 4.2: CDP Questionnaire guidance for companies</t>
  </si>
  <si>
    <t>Task 3.2: Marginal Abatement Cost Curves for U.S. Net-Zero Energy Systems A Systems Approach</t>
  </si>
  <si>
    <t>Task 3.1: Better building solution center: Connect with financial allies.</t>
  </si>
  <si>
    <t>This resource contains a list of the Better Buildings Financial Allies—market-leading financing companies that have committed to funding energy efficiency and renewable energy projects.</t>
  </si>
  <si>
    <t>This resource discusses how identifying and quantifying non-energy benefits (NEBs) of energy efficiency projects can enhance business performance and reduce project payback periods. It introduces the JUSTIFI software, which employs Six Sigma's DMAIC process to systematically identify and assess these NEBs, aligning energy projects with strategic business objective</t>
  </si>
  <si>
    <t>Task: 2.1: General Motors: Energy and Carbon Optimization Toolbox</t>
  </si>
  <si>
    <t>​The Energy and Carbon Optimization (ECO) Toolbox is a resource developed by General Motors to identify energy savings opportunities and reduce carbon emissions.</t>
  </si>
  <si>
    <t>This case study from the U.S. Department of Energy’s Better Buildings Solution Center highlights how ArcelorMittal USA used a friendly competition—the POWER 1 Contest—to drive employee engagement in energy-saving practices. The initiative not only fostered a culture of sustainability within the company but also led to measurable energy reductions and cost savings. It’s a great example of how strategic employee involvement can advance energy goals in industrial settings.</t>
  </si>
  <si>
    <t>Virtual Trainings (VTs) offered by the U.S. Department of Energy’s Better Plants program are the online version of the multi- day workshops known as In-Plant (INPLTs) trainings. As with in-person training, the VTs will help attendees to identify energy efficiency and decarbonization opportunities, quantify savings from those opportunities, and implement projects to realize the savings.</t>
  </si>
  <si>
    <t>Task 2.3: Better Plants: Virtual training</t>
  </si>
  <si>
    <t>Task 2.3: Better Plants Diagnostic Tools: Enhancing Energy Management</t>
  </si>
  <si>
    <t>The U.S. Department of Energy’s Better Plants program offers a suite of diagnostic tools designed to assist organizations in collecting and analyzing energy data. These tools help identify opportunities for improving equipment efficiency and overall energy management, supporting facilities in achieving their sustainability and cost-saving objectives.</t>
  </si>
  <si>
    <t>This case study from the U.S. Department of Energy’s Better Buildings Solution Center illustrates how Nissan North America adapted its payback criteria to finance energy efficiency initiatives. By modifying traditional payback requirements, Nissan was able to prioritize and implement projects that deliver long-term energy and cost savings, demonstrating a strategic commitment to sustainability and operational efficiency.</t>
  </si>
  <si>
    <t>Task 4.2: KPMG's Guide to Implementing Internal Carbon Pricing</t>
  </si>
  <si>
    <t>This resource offers a comprehensive overview of developing and implementing Internal Carbon Pricing (ICP) programs. The guide discusses the benefits of ICP, such as managing transition risks and evaluating business strategies for a low-carbon future. It also explores various approaches to ICP, including shadow pricing and internal carbon fees, and provides case studies of organizations that have successfully integrated ICP into their operations.</t>
  </si>
  <si>
    <t>Task 2.5: Empowering Energy Efficiency: Saint-Gobain's Energy Champions Initiative</t>
  </si>
  <si>
    <t>Saint-Gobain has successfully integrated energy efficiency into its manufacturing operations through the "Energy Champions at All Plants" model. This initiative designates dedicated personnel at each facility to lead energy management efforts, fostering a culture of sustainability and continuous improvement across the organization. By implementing this model, Saint-Gobain has achieved significant energy savings and enhanced operational efficiency, serving as a replicable example for other manufacturers aiming to embed energy stewardship into their processes.​</t>
  </si>
  <si>
    <t xml:space="preserve">Task 2.5:Enhancing Energy Engagement: Celanese Corporation's Plant Operations Teams Initiative </t>
  </si>
  <si>
    <t xml:space="preserve">Celanese Corporation has addressed the critical challenge of employee involvement in energy management by implementing the "Raising Energy Engagement in Plant Operations Teams" initiative. This program focuses on actively engaging plant operations teams to foster a culture of energy efficiency and sustainability. By empowering employees to identify and implement energy-saving opportunities, Celanese has achieved significant improvements in energy performance across its facilities. This approach not only enhances operational efficiency but also serves as a model for other organizations aiming to integrate employee-driven energy management practices into their operations. </t>
  </si>
  <si>
    <t>Task 2.6: Strategic Approaches to Sustainable Energy Procurement</t>
  </si>
  <si>
    <t>Covington &amp; Burling LLP's "Sustainability Toolkit: Corporate Strategies for Sustainable Energy Procurement" provides a comprehensive guide for companies aiming to reduce greenhouse gas emissions and enhance energy efficiency. The toolkit outlines various procurement options, including on-site generation, off-site solutions like virtual power purchase agreements, and collaborative ventures. It emphasizes aligning energy projects with corporate sustainability goals, risk tolerance, and value expectations, offering a structured framework to navigate the complexities of sustainable energy procurement effectively.​</t>
  </si>
  <si>
    <t>Task 2.7: Guidelines for Issuing Green Bonds: ICMA's Green Bond Principles</t>
  </si>
  <si>
    <t>The International Capital Market Association's (ICMA) Green Bond Principles (GBP) are voluntary guidelines designed to promote transparency and integrity in the green bond market. They provide issuers with a framework for financing projects that offer environmental benefits, supporting the transition to a net-zero emissions economy.</t>
  </si>
  <si>
    <t>Task 2.7: Electrolux Group's Green Financing Framework and Long-term Incentive Program</t>
  </si>
  <si>
    <t>Electrolux Group has implemented two key initiatives to advance its sustainability objectives: the Green Financing Framework and the Long-term Incentive (LTI) Program. The Green Financing Framework facilitates the issuance of green bonds, directing capital toward projects that enhance energy efficiency and promote sustainable practices. Complementing this, the LTI Program aligns employee compensation with the company's climate action goals, incentivizing staff to contribute actively to sustainability efforts. Together, these initiatives underscore Electrolux's commitment to integrating financial strategies with environmental responsibility.</t>
  </si>
  <si>
    <t>Task 2.8: Celebrating Leadership: Better Plants Partner Recognition</t>
  </si>
  <si>
    <t xml:space="preserve">The U.S. Department of Energy's Better Plants program honors partners demonstrating exceptional commitment to energy efficiency and sustainability. This recognition highlights achievements such as meeting energy reduction goals, implementing innovative projects, and adopting best practices in energy management. By acknowledging these accomplishments, the program not only celebrates individual successes but also sets benchmarks for the industrial sector, inspiring broader adoption of energy-efficient practices. </t>
  </si>
  <si>
    <t>Task 2.8: ENERGY STAR Plant Certification: Recognizing Excellence in Industrial Energy Efficiency</t>
  </si>
  <si>
    <t xml:space="preserve">Task 2.4:​ Nissan North America's Modified Payback Approach to Funding Energy Efficiency Projects </t>
  </si>
  <si>
    <t>Task 2.4: KPMG's Guide to Implementing Internal Carbon Pricing</t>
  </si>
  <si>
    <t>Milestone #</t>
  </si>
  <si>
    <t>Task #</t>
  </si>
  <si>
    <t>Max possbile true score (T')</t>
  </si>
  <si>
    <t>Max possbile weighted score (W')</t>
  </si>
  <si>
    <t>M1</t>
  </si>
  <si>
    <t>T1</t>
  </si>
  <si>
    <t>T2</t>
  </si>
  <si>
    <t>T3</t>
  </si>
  <si>
    <t>T4</t>
  </si>
  <si>
    <t>M2</t>
  </si>
  <si>
    <t>M3</t>
  </si>
  <si>
    <t>M4</t>
  </si>
  <si>
    <t>T5</t>
  </si>
  <si>
    <t>M5</t>
  </si>
  <si>
    <t>M6</t>
  </si>
  <si>
    <t>No EE</t>
  </si>
  <si>
    <t>No Electrification</t>
  </si>
  <si>
    <t>No renewable energy</t>
  </si>
  <si>
    <t>No - low carbon fuel</t>
  </si>
  <si>
    <t>Renewable energy procurement</t>
  </si>
  <si>
    <t>On-site Renewable energy production</t>
  </si>
  <si>
    <t>ARCHIVE LINKS</t>
  </si>
  <si>
    <t xml:space="preserve">The U.S. Environmental Protection Agency's (EPA) ENERGY STAR Plant Certification program honors manufacturing plants that achieve exceptional energy efficiency. This program serves as a benchmark for industries aiming to enhance their energy performance and sustainability practices. </t>
  </si>
  <si>
    <t>Task 2: Identify and quantify GHG emissions for SGEs</t>
  </si>
  <si>
    <t xml:space="preserve">Task 3.4: Engaging supply chains on decarbonization journey </t>
  </si>
  <si>
    <t>Task 3.2: Better Climate Challenge Non-Energy Benefits of Energy Projects- Improving Financial Payback</t>
  </si>
  <si>
    <t>Task 2.2: ArcelorMittal USA: Power of 1 Contest Increases Employee Engagement and Generates Low- and No-Cost Project Ideas</t>
  </si>
  <si>
    <r>
      <t xml:space="preserve">Speakers Andy Wirths from AstraZeneca, John Hanselman from Vanguard Renewables, and the RTC’s Ruth Checknoff discussed how the agreement to supply AstraZeneca with 650,000 MMBtu/year for 15 or more years contributes to the company’s ambition to reduce greenhouse gas emissions from its global operations (Scope 1 and 2) by 98% by 2026.. The full case study can be found: </t>
    </r>
    <r>
      <rPr>
        <sz val="12"/>
        <color rgb="FF00B0F0"/>
        <rFont val="Arial"/>
        <family val="2"/>
      </rPr>
      <t>https://www.renewablethermal.org/astrazeneca-vanguard-case-study/</t>
    </r>
  </si>
  <si>
    <t>Responsible</t>
  </si>
  <si>
    <t>Accountable</t>
  </si>
  <si>
    <t>Consulted</t>
  </si>
  <si>
    <t>Informed</t>
  </si>
  <si>
    <r>
      <t>Please identify all internal stakeholders involved in developing and implementing the Emission Reduction Plan and how you are engaging with them?</t>
    </r>
    <r>
      <rPr>
        <sz val="14"/>
        <color theme="7"/>
        <rFont val="Arial"/>
        <family val="2"/>
      </rPr>
      <t xml:space="preserve"> </t>
    </r>
    <r>
      <rPr>
        <i/>
        <sz val="14"/>
        <color rgb="FF92D050"/>
        <rFont val="Arial"/>
        <family val="2"/>
      </rPr>
      <t>(Select all that apply)</t>
    </r>
  </si>
  <si>
    <t>Certification bodies (Verra, American Carbon Registry, etc.)</t>
  </si>
  <si>
    <t>Energy regulatory authorities (New York State Public Service Commission (NYPSC), etc.)</t>
  </si>
  <si>
    <r>
      <t>This multi-sheet survey and uses different types of response formats that you'll encounter throughout the sections. When answering questions, you'll be asked to:</t>
    </r>
    <r>
      <rPr>
        <sz val="12"/>
        <rFont val="Arial"/>
        <family val="2"/>
      </rPr>
      <t xml:space="preserve"> </t>
    </r>
    <r>
      <rPr>
        <sz val="12"/>
        <color rgb="FF92D050"/>
        <rFont val="Arial"/>
        <family val="2"/>
      </rPr>
      <t>a) Select all applicable options when multiple answers are allowed</t>
    </r>
    <r>
      <rPr>
        <sz val="12"/>
        <rFont val="Arial"/>
        <family val="2"/>
      </rPr>
      <t>,</t>
    </r>
    <r>
      <rPr>
        <sz val="12"/>
        <color theme="1"/>
        <rFont val="Arial"/>
        <family val="2"/>
      </rPr>
      <t xml:space="preserve"> </t>
    </r>
    <r>
      <rPr>
        <sz val="12"/>
        <color theme="5"/>
        <rFont val="Arial"/>
        <family val="2"/>
      </rPr>
      <t xml:space="preserve">b) Select any one option where only a single choice is permitted, </t>
    </r>
    <r>
      <rPr>
        <sz val="12"/>
        <color theme="1" tint="0.499984740745262"/>
        <rFont val="Arial"/>
        <family val="2"/>
      </rPr>
      <t xml:space="preserve">c) Type in your answers in the designated fields for open-ended responses, </t>
    </r>
    <r>
      <rPr>
        <sz val="12"/>
        <color theme="1"/>
        <rFont val="Arial"/>
        <family val="2"/>
      </rPr>
      <t>or</t>
    </r>
    <r>
      <rPr>
        <sz val="12"/>
        <color theme="1" tint="0.499984740745262"/>
        <rFont val="Arial"/>
        <family val="2"/>
      </rPr>
      <t xml:space="preserve"> </t>
    </r>
    <r>
      <rPr>
        <sz val="12"/>
        <color rgb="FF002060"/>
        <rFont val="Arial"/>
        <family val="2"/>
      </rPr>
      <t>d) Rank the options</t>
    </r>
    <r>
      <rPr>
        <sz val="12"/>
        <color theme="1"/>
        <rFont val="Arial"/>
        <family val="2"/>
      </rPr>
      <t>. Please read each question carefully and follow the indicated response format to ensure accurate completion. Examples of the answering choices describe through the section are shown below</t>
    </r>
  </si>
  <si>
    <t>Engineering</t>
  </si>
  <si>
    <t>Real Estate and Facilities</t>
  </si>
  <si>
    <t>Operations and building Maintenance</t>
  </si>
  <si>
    <t xml:space="preserve">Procurement (e.g. Equipment sourcing, utility) </t>
  </si>
  <si>
    <t xml:space="preserve">Enterprise-wide platform with automated verification </t>
  </si>
  <si>
    <t>Mix of spreadsheets and data dashboard with manual data checks</t>
  </si>
  <si>
    <t xml:space="preserve">Manual data collection with basic spreadsheet minimal to no quality checks	</t>
  </si>
  <si>
    <t>We have set a near-term goal (by 2030 or earlier)</t>
  </si>
  <si>
    <t xml:space="preserve">We are currently developing our goal </t>
  </si>
  <si>
    <t xml:space="preserve">We do not currently have goals </t>
  </si>
  <si>
    <t>Documented inventory of systems/process with quantified emissions for majority of the facilities.</t>
  </si>
  <si>
    <t>Do not have list of SGEs</t>
  </si>
  <si>
    <t>We maintain our own comprehensive best practices and operational standards for critical/energy intensive system for largest facilities</t>
  </si>
  <si>
    <t>We have best practices and operational standards for all our common energy systems</t>
  </si>
  <si>
    <t>We are interested in developing best practices and operational standards</t>
  </si>
  <si>
    <t>Yes, we have evaluated for our largest/highest priority sites/systems</t>
  </si>
  <si>
    <t>No, but we have evaluation planned</t>
  </si>
  <si>
    <t>We will not deploy this strategy to meet reduction target</t>
  </si>
  <si>
    <t>Yes, only at facilities that have taken initiative or have opportunities for energy efficiency on site</t>
  </si>
  <si>
    <t>Yes, only at facilities that have taken initiative or have opportunities for electrification on site</t>
  </si>
  <si>
    <t>Yes, only at facilities that have taken initiative or have opportunities for on-site renewables</t>
  </si>
  <si>
    <r>
      <t xml:space="preserve">When evaluating electrification ERMs do you consider planned renewable energy purchases and/or greening of the grid impact? </t>
    </r>
    <r>
      <rPr>
        <i/>
        <sz val="14"/>
        <color theme="5"/>
        <rFont val="Arial"/>
        <family val="2"/>
      </rPr>
      <t>(Select any one)</t>
    </r>
  </si>
  <si>
    <r>
      <t xml:space="preserve">When evaluating electrification ERMs have you assessed electrical capacity and infrastructure upgrade needs? </t>
    </r>
    <r>
      <rPr>
        <i/>
        <sz val="14"/>
        <color theme="5"/>
        <rFont val="Arial"/>
        <family val="2"/>
      </rPr>
      <t>(Select any one)</t>
    </r>
  </si>
  <si>
    <t xml:space="preserve">Yes, we know what capacity and infrastructure upgrades needed for electrification ERMs </t>
  </si>
  <si>
    <t xml:space="preserve">No, we are in the process of assessing infrastructure upgrades needed for electrification ERMs </t>
  </si>
  <si>
    <t>No, we are not planning on assessing infrastructure upgrade needed for electrification ERMs</t>
  </si>
  <si>
    <t>Yes we will need CCUS to meet our goal.</t>
  </si>
  <si>
    <t>Assessment of ERP gaps for facilities in US only</t>
  </si>
  <si>
    <t>Assessment of ERP gaps for facilities in corporate wide (Global) portfolio</t>
  </si>
  <si>
    <t>We identify ERMs through systematic internal assessments of our largest and highest-priority sites to target the most impactful opportunities.</t>
  </si>
  <si>
    <t xml:space="preserve">Our company conducts collaborative 'Energy Treasure Hunt' activities across all facilities, empowering cross-functional teams to systematically identify energy waste. </t>
  </si>
  <si>
    <t xml:space="preserve">We identify ERMs through ad-hoc approach rather than following a standardized methodology. </t>
  </si>
  <si>
    <r>
      <t xml:space="preserve">How does your company identify emission reduction measures? </t>
    </r>
    <r>
      <rPr>
        <i/>
        <sz val="14"/>
        <color rgb="FF92D050"/>
        <rFont val="Arial"/>
        <family val="2"/>
      </rPr>
      <t>(Select all that apply)</t>
    </r>
  </si>
  <si>
    <t>We engage specialized external consultants to conduct advanced technical assessments that identify complex ERMs.</t>
  </si>
  <si>
    <r>
      <t xml:space="preserve">Reduction target </t>
    </r>
    <r>
      <rPr>
        <b/>
        <sz val="16"/>
        <rFont val="Aptos Narrow"/>
        <family val="2"/>
      </rPr>
      <t>→</t>
    </r>
  </si>
  <si>
    <t>Baseline year (yyyy)</t>
  </si>
  <si>
    <t>Future business portfolio changes</t>
  </si>
  <si>
    <t xml:space="preserve">We have only identified viable measures and have estimated their potential. </t>
  </si>
  <si>
    <t>We have above data points for our high-impact ERMs</t>
  </si>
  <si>
    <t>We have above data points for only a small subset of our ERMs</t>
  </si>
  <si>
    <t>We are in process of gathering these data points for our ERMs</t>
  </si>
  <si>
    <t>Variation in cost of traditional energy source (e.g. electricity, natural gas, propane etc. )</t>
  </si>
  <si>
    <t>Variation in cost  of low carbon fuel (e.g. biofuel, hydrogen etc.)</t>
  </si>
  <si>
    <t>Variation in cost of renewable electricity (e.g. Onsite generation, PPA utility tariff etc. )</t>
  </si>
  <si>
    <t xml:space="preserve">Cost of third party financing, discount rates, interest (for green bond, climate bonds sustainability-linked loans, equipment lease) </t>
  </si>
  <si>
    <t xml:space="preserve"> Limitations of internal funding (e.g. capital expenditure, revolving sustainability funds) </t>
  </si>
  <si>
    <r>
      <t xml:space="preserve">Which financial parameters do you include in your sensitivity analysis when evaluating your emission reduction scenarios for your ERP? </t>
    </r>
    <r>
      <rPr>
        <i/>
        <sz val="14"/>
        <color rgb="FF92D050"/>
        <rFont val="Arial"/>
        <family val="2"/>
      </rPr>
      <t>(Select all that apply)</t>
    </r>
  </si>
  <si>
    <t>Technology fit, readiness level, maturity, scalability</t>
  </si>
  <si>
    <t xml:space="preserve">Alternate energy sources availability and blending potential </t>
  </si>
  <si>
    <t xml:space="preserve">We have completed sensitivity analysis for all ERMs for cost, financing and technology readiness. </t>
  </si>
  <si>
    <t>We have completed sensitivity analysis for high impact ERMs for cost, financing and technology readiness.</t>
  </si>
  <si>
    <t xml:space="preserve">We have completed sensitivity analysis for few ERMs for cost, financing and technology readiness. </t>
  </si>
  <si>
    <t>We have not conducted any sensitivity analysis for ERMs.</t>
  </si>
  <si>
    <t>Other notable pathways (please specify)</t>
  </si>
  <si>
    <r>
      <t xml:space="preserve">What are the communication best practices you have implemented that have significantly benefited your organization's ERP development process ? </t>
    </r>
    <r>
      <rPr>
        <i/>
        <sz val="14"/>
        <color rgb="FF92D050"/>
        <rFont val="Arial"/>
        <family val="2"/>
      </rPr>
      <t>(Select all that apply)</t>
    </r>
  </si>
  <si>
    <t>Planned plant shutdown</t>
  </si>
  <si>
    <t>Budget is allocated in annual cycle for small and medium impact project but we have allocated funding and resources assigned for high impact projects</t>
  </si>
  <si>
    <t>Initial budget approved but need additional funding, some resources allocated but gaps remains.</t>
  </si>
  <si>
    <t>Preliminary budget estimates developed; resources requirement being assessed</t>
  </si>
  <si>
    <t>Minimal budget available, relying on existing resources, working to seek external funding or grants.</t>
  </si>
  <si>
    <t xml:space="preserve">We have not started on this effort. </t>
  </si>
  <si>
    <t>We have detail project schedule and timelines established for high impact projects and for low or medium impact project we do it after finance is approved.</t>
  </si>
  <si>
    <t>Preliminary timeline established for high impact project with major milestone identified</t>
  </si>
  <si>
    <t>Timeline of implementation is under development and working to establish realistic timeframes</t>
  </si>
  <si>
    <t>No formal timeline for deployment</t>
  </si>
  <si>
    <t>Implementation ongoing and timeline is adjustable based on progress</t>
  </si>
  <si>
    <t xml:space="preserve">Not started this effort. </t>
  </si>
  <si>
    <t>Risks are identified for high impact projects and for medium and low impact projects risks are analyzed once finance is approved.</t>
  </si>
  <si>
    <t>Preliminary risks are identified for some projects and for low impact projects risks are not analyzed.</t>
  </si>
  <si>
    <t>Risk analysis is done only after finance is approved for project.</t>
  </si>
  <si>
    <t xml:space="preserve">No risk analysis done. </t>
  </si>
  <si>
    <r>
      <t xml:space="preserve">Which cost parameters do you include in sensitivity analysis when assessing your emission reduction scenarios for your ERP? </t>
    </r>
    <r>
      <rPr>
        <i/>
        <sz val="14"/>
        <color rgb="FF92D050"/>
        <rFont val="Arial"/>
        <family val="2"/>
      </rPr>
      <t>(Select all that apply)</t>
    </r>
  </si>
  <si>
    <r>
      <t xml:space="preserve">How are you measuring and verifying emission reduction for ERMs? </t>
    </r>
    <r>
      <rPr>
        <i/>
        <sz val="14"/>
        <color theme="5"/>
        <rFont val="Arial"/>
        <family val="2"/>
      </rPr>
      <t>(Select any one)</t>
    </r>
  </si>
  <si>
    <t>M&amp;V are only done for high impact projects and for medium and low impact projects spot checks are conducted.</t>
  </si>
  <si>
    <t>Spot checks are conducted for high impact projects and reductions are accounted based on annual data reporting</t>
  </si>
  <si>
    <t>Measurement and verification are done on a case by case basis.</t>
  </si>
  <si>
    <t>We have no verification system in place</t>
  </si>
  <si>
    <r>
      <t>How does your organization capture, document, and share key learnings from ERP projects implementation?</t>
    </r>
    <r>
      <rPr>
        <i/>
        <sz val="14"/>
        <color theme="5"/>
        <rFont val="Arial"/>
        <family val="2"/>
      </rPr>
      <t xml:space="preserve"> </t>
    </r>
    <r>
      <rPr>
        <i/>
        <sz val="14"/>
        <color rgb="FF92D050"/>
        <rFont val="Arial"/>
        <family val="2"/>
      </rPr>
      <t>(Select all that apply)</t>
    </r>
  </si>
  <si>
    <t>Organization has implemented a knowledge management system for high impact project for documenting project learnings</t>
  </si>
  <si>
    <t>Organization maintains regular documentation of project learnings through structured reports</t>
  </si>
  <si>
    <t>Organization capture learnings though project reports and team discussion.</t>
  </si>
  <si>
    <t>Organization document and shares learnings on a need to know basis.</t>
  </si>
  <si>
    <t xml:space="preserve">No formal method to share key learning from ERM implementation. </t>
  </si>
  <si>
    <t xml:space="preserve">We have above data points supporting all our identified ERMs </t>
  </si>
  <si>
    <t>Yes, we have identified and quantified ERMs to meet our current goal</t>
  </si>
  <si>
    <t>We have identified and quantified ERMs that would help us meet more than half of our current goal.</t>
  </si>
  <si>
    <t>We have identified and quantified ERMs that would help us meet less than half of our current goal.</t>
  </si>
  <si>
    <t>High - low carbon fuel</t>
  </si>
  <si>
    <t>High - Other (mobile, process, fugitive) emissions</t>
  </si>
  <si>
    <t>Low - Other (mobile, process, fugitive) emissions</t>
  </si>
  <si>
    <t>No - Other (mobile, process, fugitive) emissions</t>
  </si>
  <si>
    <t>Mid - Other (mobile, process, fugitive) emissions</t>
  </si>
  <si>
    <t>High - CCUS</t>
  </si>
  <si>
    <t>Medium - CCUS</t>
  </si>
  <si>
    <t>Low - CCUS</t>
  </si>
  <si>
    <t>No - CCUS</t>
  </si>
  <si>
    <t>Impact of increased electricity demand from electrification offset with renewable energy transition strategy.</t>
  </si>
  <si>
    <t>Carbon accounting specialists (Persefoni, Watershed, CLEAResult, etc.)</t>
  </si>
  <si>
    <t xml:space="preserve">Yes, we are currently in process to identify vendors who can provide or exploring methods to produce low carbon fuel for the ERM </t>
  </si>
  <si>
    <r>
      <t xml:space="preserve">Define your emissions reductions goal </t>
    </r>
    <r>
      <rPr>
        <i/>
        <sz val="12"/>
        <color theme="0" tint="-0.499984740745262"/>
        <rFont val="Arial"/>
        <family val="2"/>
      </rPr>
      <t>(Type in your answer)</t>
    </r>
  </si>
  <si>
    <t xml:space="preserve">Task </t>
  </si>
  <si>
    <t xml:space="preserve">Question </t>
  </si>
  <si>
    <t>True Value</t>
  </si>
  <si>
    <t>Weighted value</t>
  </si>
  <si>
    <t>Multiplyer</t>
  </si>
  <si>
    <t>Carbon capture utilization &amp; storage</t>
  </si>
  <si>
    <t xml:space="preserve">Performance bonuses tied emission reduction  </t>
  </si>
  <si>
    <t xml:space="preserve"> % GHG Reduction  (Cumulative reduction)</t>
  </si>
  <si>
    <r>
      <t xml:space="preserve">What are the best practices you have implemented for project evaluation that have significantly benefited your organization's ERP development process ? </t>
    </r>
    <r>
      <rPr>
        <i/>
        <sz val="14"/>
        <color rgb="FF92D050"/>
        <rFont val="Arial"/>
        <family val="2"/>
      </rPr>
      <t>(Select all that apply)</t>
    </r>
    <r>
      <rPr>
        <sz val="14"/>
        <color theme="1"/>
        <rFont val="Arial"/>
        <family val="2"/>
      </rPr>
      <t xml:space="preserve"> </t>
    </r>
  </si>
  <si>
    <r>
      <t xml:space="preserve">What are the best practices you have implemented for training employees that have significantly benefited your organization's ERP development process ? </t>
    </r>
    <r>
      <rPr>
        <i/>
        <sz val="14"/>
        <color rgb="FF92D050"/>
        <rFont val="Arial"/>
        <family val="2"/>
      </rPr>
      <t>(Select all that apply)</t>
    </r>
  </si>
  <si>
    <r>
      <t xml:space="preserve"> What are the operation and maintenance  best practices you have implemented that have significantly benefited your organization's ERP development process ? </t>
    </r>
    <r>
      <rPr>
        <i/>
        <sz val="14"/>
        <color rgb="FF92D050"/>
        <rFont val="Arial"/>
        <family val="2"/>
      </rPr>
      <t>(Select all that apply)</t>
    </r>
  </si>
  <si>
    <t>Building and production equipment efficiency standards</t>
  </si>
  <si>
    <t>Maintenance program to maintain equipment health</t>
  </si>
  <si>
    <t>Fault detection using advanced data analytics (e.g. digital twin)</t>
  </si>
  <si>
    <t>Provide training to employees on operation of new technology</t>
  </si>
  <si>
    <t>Conduct leak detection program to reduce energy waste</t>
  </si>
  <si>
    <t xml:space="preserve">Keep record of building upgrades and equipment replacement at end of life </t>
  </si>
  <si>
    <r>
      <t xml:space="preserve">What are the external financing best practices you have implemented that have significantly benefited your organization's ERP development process ? </t>
    </r>
    <r>
      <rPr>
        <i/>
        <sz val="14"/>
        <color rgb="FF92D050"/>
        <rFont val="Arial"/>
        <family val="2"/>
      </rPr>
      <t>(Select all that apply)</t>
    </r>
  </si>
  <si>
    <r>
      <t xml:space="preserve">How have you achieved stakeholder buy-in? </t>
    </r>
    <r>
      <rPr>
        <i/>
        <sz val="14"/>
        <color rgb="FF92D050"/>
        <rFont val="Arial"/>
        <family val="2"/>
      </rPr>
      <t>(Select all that apply)</t>
    </r>
  </si>
  <si>
    <t xml:space="preserve">We have set a mid-term net goal (2031-2040) </t>
  </si>
  <si>
    <t xml:space="preserve">We have set a long-term net goal (2041-2050) </t>
  </si>
  <si>
    <r>
      <t xml:space="preserve">How have you identified and quantified your significant GHG emitters (SGEs)? </t>
    </r>
    <r>
      <rPr>
        <i/>
        <sz val="14"/>
        <color rgb="FF92D050"/>
        <rFont val="Arial"/>
        <family val="2"/>
      </rPr>
      <t>(Select all that apply)</t>
    </r>
  </si>
  <si>
    <r>
      <t xml:space="preserve">Does the ERP implementation cover only U.S. facilities, or will it include global operations? </t>
    </r>
    <r>
      <rPr>
        <i/>
        <sz val="12"/>
        <color rgb="FFFF0000"/>
        <rFont val="Arial"/>
        <family val="2"/>
      </rPr>
      <t>(Select any one that applies)</t>
    </r>
  </si>
  <si>
    <t>Need to quantify but believe it has strategic relevance to our operations</t>
  </si>
  <si>
    <t>Outside of our inventory boundary or strategic focus</t>
  </si>
  <si>
    <t>Set GHG emission reduction goal</t>
  </si>
  <si>
    <r>
      <t>Do you have a net zero or carbon neutral goal?</t>
    </r>
    <r>
      <rPr>
        <sz val="14"/>
        <color theme="5" tint="0.39997558519241921"/>
        <rFont val="Arial"/>
        <family val="2"/>
      </rPr>
      <t xml:space="preserve"> </t>
    </r>
    <r>
      <rPr>
        <i/>
        <sz val="14"/>
        <color theme="5"/>
        <rFont val="Arial"/>
        <family val="2"/>
      </rPr>
      <t>(Select any one)</t>
    </r>
  </si>
  <si>
    <t>Based solely on simple payback periods</t>
  </si>
  <si>
    <r>
      <t xml:space="preserve">Beyond emission reduction and energy savings, what strategic criteria guide your decision-making in selecting projects for your ERP? </t>
    </r>
    <r>
      <rPr>
        <i/>
        <sz val="14"/>
        <color rgb="FF92D050"/>
        <rFont val="Arial"/>
        <family val="2"/>
      </rPr>
      <t>(Select all that apply)</t>
    </r>
  </si>
  <si>
    <t>Impact to non-energy related operating costs</t>
  </si>
  <si>
    <r>
      <t>What characteristics of your facilities and processes do you capture across your operations to identify high-impact emissions reduction measures?</t>
    </r>
    <r>
      <rPr>
        <sz val="14"/>
        <color rgb="FF92D050"/>
        <rFont val="Arial"/>
        <family val="2"/>
      </rPr>
      <t xml:space="preserve"> </t>
    </r>
    <r>
      <rPr>
        <i/>
        <sz val="14"/>
        <color rgb="FF92D050"/>
        <rFont val="Arial"/>
        <family val="2"/>
      </rPr>
      <t>(Select all that apply)</t>
    </r>
  </si>
  <si>
    <t xml:space="preserve">Total energy or emission  reduction opportunity </t>
  </si>
  <si>
    <t xml:space="preserve">Basic list of main SGEs in most of the facilities. </t>
  </si>
  <si>
    <t>We utilize combination of internal and external resources (e.g. Better Plants resources and guidelines)`</t>
  </si>
  <si>
    <r>
      <t xml:space="preserve">Have you identified vendors or systems that can produce low carbon fuel over the lifetime of the ERMs? </t>
    </r>
    <r>
      <rPr>
        <i/>
        <sz val="14"/>
        <color theme="5"/>
        <rFont val="Arial"/>
        <family val="2"/>
      </rPr>
      <t>(Select any one)</t>
    </r>
  </si>
  <si>
    <t>50001Ready Cohorts</t>
  </si>
  <si>
    <t>Centralized corporate-led rollout with standardized procedures across all facilities</t>
  </si>
  <si>
    <t>Decentralized approach where individual facilities develop their own programs</t>
  </si>
  <si>
    <t>Hybrid model combining corporate standards with site-specific customization</t>
  </si>
  <si>
    <t>Phased implementation starting with pilot facilities before company-wide rollout</t>
  </si>
  <si>
    <t xml:space="preserve">Opportunistic implementation based on equipment replacement cycles and maintenance schedules </t>
  </si>
  <si>
    <t>Evaluation now includes resiliency and lower maintenance cost as criteria</t>
  </si>
  <si>
    <t>Evaluation include LCA of the product</t>
  </si>
  <si>
    <t>Impact of project on peak load demand and billing charges</t>
  </si>
  <si>
    <t>Impact of project include reduction of water or waste</t>
  </si>
  <si>
    <t xml:space="preserve">Impact of project on regulation and compliance. </t>
  </si>
  <si>
    <t>Deploy effective external or 3rd party financing (e.g., green bonds or performance contracts )</t>
  </si>
  <si>
    <t>Update financial metrics for evaluating investment opportunities  (e.g. Net Present Value (NPV), Return on Investment (ROI), Internal Rate of Return (IRR))</t>
  </si>
  <si>
    <t>Every 2-4years or sooner</t>
  </si>
  <si>
    <t>No formal plans to update ERP</t>
  </si>
  <si>
    <t>Companies that strengthen their sustainability governance achieve better operational resilience, increased investor confidence, and improved long-term value creation.
Key Actions: 
1) Develop Sustainability Teams- Establish a cross-functional sustainability team with clear roles, responsibilities, and authority, develop policy defining sustainability team's role, decision-making authority, and reporting structure, allocate dedicated budget and resources for sustainability team operations, implement regular training and upskilling program for team members, create formalized coordination mechanisms between sustainability team and other departments (finance, operations, procurement, etc.)
2)Performace bonuses- Allocate a certain % of total executive bonus potential to sustainability performance metrics, Balance leading indicators (implementation of sustainability initiatives) with lagging indicators (actual environmental outcomes), Include both quantitative metrics (emission reductions, renewable energy adoption) and qualitative assessments (stakeholder engagement, innovation in sustainable practices), implement third-party verification for all sustainability metrics used in compensation calculations
3)Implement Employee Recognition Programs- Develop formal sustainability recognition program with defined criteria for employee contributions, incorporate sustainability metrics into performance review processes across all departments, create sustainability awards program with meaningful visibility and rewards, establish communication channels to highlight employee sustainability accomplishments
4) Climate and Financial Risk Assessment Processes- Develop standardized methodology for identifying and quantifying climate-related risks, create a climate risk register integrated with enterprise risk management systems, establish regular climate scenario analysis procedures aligned with TCFD recommendations, implement systems to track financial implications of climate risks and opportunities, develop board-level reporting procedures for climate-related financial risks
5)Implement Public Sustainability Reporting- Select appropriate reporting frameworks (CDP, TCFD, SASB, GRI) aligned with company needs</t>
  </si>
  <si>
    <t xml:space="preserve">Companies that strengthen their operation and maintenance standard achieve better operational resilience, prevent equipment failures to minimize operational disruption. 
Key Actions:
1) Develop Preventive Maintenance Plan- Conduct comprehensive inventory and condition assessment of all critical equipment and systems, implement digital asset management system to track equipment specifications, maintenance history, and performance data, establish risk-based prioritization methodology for maintenance activities based on equipment criticality, condition, and performance impact, implement predictive maintenance technologies (vibration analysis, thermography, oil analysis) for critical equipment.
2) Provide Training to Employees on Operation and Maintenance of New Technology- Develop comprehensive training curriculum covering both technical operations and energy efficiency best practices, implement digital training platforms with equipment-specific tutorials and troubleshooting guides, establish vendor partnerships for specialized training on proprietary equipment and systems, implement knowledge management system to capture institutional knowledge and best practices.
3) Conduct  Leak Monitoring Program- Develop comprehensive leak detection protocol covering compressed air, steam, refrigerants, and process fluids, acquire appropriate leak detection equipment (ultrasonic detectors, thermal cameras, gas analyzers), establish regular leak detection survey schedule with defined scope and frequency, develop leak repair prioritization methodology based on energy/resource loss and repair complexity, develop employee awareness program to encourage leak reporting. 
4) Keep Record of Building Upgrades and Equipment Replacement- Implement centralized asset lifecycle management system integrating with maintenance records, create standardized documentation requirements for all equipment replacements and upgrades, develop replacement planning framework that incorporates energy efficiency opportunities.
5) Building and production equipment efficiency standards- Create detailed inventories of all equipment including age, efficiency ratings, maintenance history, and energy consumption data,create equipment replacement criteria based on age,deterioration, and total cost of ownership, install sub-metering systems to track energy consumption at the equipment and process level, establish key performance indicators such as energy per unit of production, peak demand patterns, and equipment utilization rates, implement mandatory efficiency upgrades during major equipment overhauls or facility renovations
6) Deploy advanced sensors throughout facilities to capture real-time data on process parameter, develop detailed digital replicas of critical production equipment, HVAC systems, and building infrastructure, integrate thermodynamic, mechanical, and electrical models that accurately represent equipment behavior under various operating conditions, calibrate digital twin models using historical operational data and real-time sensor inputs to ensure accuracy and reliability, create comprehensive training programs that teach maintenance staff how to interpret fault detection alerts and use digital twin interfaces effectively. </t>
  </si>
  <si>
    <r>
      <rPr>
        <sz val="12"/>
        <color theme="0"/>
        <rFont val="Aptos Narrow"/>
        <family val="2"/>
      </rPr>
      <t>▪</t>
    </r>
    <r>
      <rPr>
        <sz val="12"/>
        <color theme="0"/>
        <rFont val="Arial"/>
        <family val="2"/>
      </rPr>
      <t>Develop Sustainability Teams- Establish a cross-functional sustainability team with clear roles, responsibilities, and authority, develop policy defining sustainability team's role, decision-making authority, and reporting structure, allocate dedicated budget and resources for sustainability team operations, implement regular training and upskilling program for team members, create formalized coordination mechanisms between sustainability team and other departments (finance, operations, procurement, etc.)</t>
    </r>
  </si>
  <si>
    <t>▪Implement Employee Recognition Programs- Develop formal sustainability recognition program with defined criteria for employee contributions, incorporate sustainability metrics into performance review processes across all departments, create sustainability awards program with meaningful visibility and rewards, establish communication channels to highlight employee sustainability accomplishments</t>
  </si>
  <si>
    <t>▪Climate and Financial Risk Assessment Processes- Develop standardized methodology for identifying and quantifying climate-related risks, create a climate risk register integrated with enterprise risk management systems, establish regular climate scenario analysis procedures aligned with TCFD recommendations, implement systems to track financial implications of climate risks and opportunities, develop board-level reporting procedures for climate-related financial risks</t>
  </si>
  <si>
    <t>▪Implement Public Sustainability Reporting- Select appropriate reporting frameworks (CDP, TCFD, SASB, GRI) aligned with company needs</t>
  </si>
  <si>
    <t xml:space="preserve">▪Deploy advanced sensors throughout facilities to capture real-time data on process parameter, develop detailed digital replicas of critical production equipment, HVAC systems, and building infrastructure, integrate thermodynamic, mechanical, and electrical models that accurately represent equipment behavior under various operating conditions, calibrate digital twin models using historical operational data and real-time sensor inputs to ensure accuracy and reliability, create comprehensive training programs that teach maintenance staff how to interpret fault detection alerts and use digital twin interfaces effectively. </t>
  </si>
  <si>
    <t xml:space="preserve"> AREAS THAT WOULD BENEFIT FROM IMPROVEMENT</t>
  </si>
  <si>
    <r>
      <t>Do you have an ambitious (&gt; 50% absolute Scope 1 and 2 emission reduction over 10 yrs) GHG emissions reduction goal?</t>
    </r>
    <r>
      <rPr>
        <sz val="12"/>
        <color theme="5" tint="0.39997558519241921"/>
        <rFont val="Arial"/>
        <family val="2"/>
      </rPr>
      <t xml:space="preserve"> </t>
    </r>
    <r>
      <rPr>
        <i/>
        <sz val="12"/>
        <color theme="5"/>
        <rFont val="Arial"/>
        <family val="2"/>
      </rPr>
      <t>(Select any one that applies)</t>
    </r>
  </si>
  <si>
    <t>We have an internal absolute reduction goal</t>
  </si>
  <si>
    <t>We have set and publicly disclosed an absolute reduction goal</t>
  </si>
  <si>
    <t>We have set an emissions intensity reduction target rather than an absolute goal</t>
  </si>
  <si>
    <t>We are currently developing our emissions reduction goal</t>
  </si>
  <si>
    <t>We do not currently have emissions reduction goals</t>
  </si>
  <si>
    <r>
      <t xml:space="preserve">Does your company have quantifiable data to support the emission reduction potential of your identified measures? </t>
    </r>
    <r>
      <rPr>
        <i/>
        <sz val="14"/>
        <color rgb="FFFF0000"/>
        <rFont val="Arial"/>
        <family val="2"/>
      </rPr>
      <t>(Select any one)</t>
    </r>
  </si>
  <si>
    <t>▪Production Capacity Planning- Implement a carbon impact assessment for all capacity expansion projects, develop intensity-based metrics that complement absolute emissions targets to account for growth, establish regular reconciliation between production planning and emissions reduction roadmaps</t>
  </si>
  <si>
    <t xml:space="preserve">Updating project evaluation standards and procedures is crucial for companies as it ensures investment decisions properly account for sustainability factors like carbon emissions and energy efficiency, which increasingly impact financial performance and regulatory compliance.
Key Action: 
1) Evaluation includes resiliency and lower maintenance cost as criteria- Evaluate project performance under extreme weather, supply chain disruptions, and equipment failures, calculate comprehensive lifecycle maintenance expenses including parts, labor, training, and vendor support costs, evaluate integration with existing operations, maintenance schedules, and technician skill sets, validate resiliency claims and monitor actual maintenance costs against projections. 
2)Evaluation include LCA-  Set lifecycle stages to include (cradle-to-gate, use phase, end-of-life) and select relevant impact categories beyond carbon (water use, resource depletion, toxicity), specify required data inputs for energy, materials, waste, and transportation across lifecycle stages,  establish protocols for data gaps and sensitivity analysis, implement peer review documentation standards to ensure LCA credibility
3)Peak load demand and billing charges- Map current facility peak demand patterns by time of day, season, and production cycles to identify when maximum electricity consumption occurs, document all utility rate components including demand charges, time-of-use rates, seasonal variations, and penalty structures that affect total electricity costs, calculate how projects will affect peak demand timing and magnitude, including load shifting potential and demand reduction capabilities, calculate monthly and annual demand charge savings or increases based on utility rate structures and projected load changes, evaluate opportunities to shift project operations to lower-cost rate periods and quantify potential savings, include demand charges alongside energy costs in project NPV calculations and payback analysis, quantify benefits of projects that reduce facility-wide peak demand through load management or energy storage capabilities
4)Project include reduction of water or waste- Document current water usage by process, facility area, and source type (municipal, well, recycled) to establish baseline consumption and costs, categorize and quantify all waste streams including solid waste, hazardous materials, wastewater discharge, and associated disposal costs, evaluate project impacts on water consumption, recycling opportunities, closed-loop systems, and discharge volume reductions, calculate reductions in waste generation, disposal volumes, hazardous material usage, and potential material recovery or reuse, quantify reduced utility bills, disposal fees, treatment costs, and regulatory compliance expenses from water and waste reduction, assess how projects reduce exposure to environmental violations, discharge permit issues, and changing waste disposal regulations, develop weighted scoring systems that combine water reduction, waste minimization, and cost savings into composite project rankings.
5)Project on regulation and compliance- Document all applicable environmental regulations, permits, reporting requirements, and compliance deadlines affecting manufacturing operations, determine how projects help close existing compliance gaps or address pending violations and enforcement actions, quantify potential fines, penalties, legal costs, and operational shutdowns that projects help prevent, consider how projects enhance relationships with regulators, community groups, and environmental organizations. </t>
  </si>
  <si>
    <t>▪Integrate With Financial Planning- Incorporate climate risk assessment into long-term financial planning, model how different carbon price scenarios would impact company financials</t>
  </si>
  <si>
    <t>▪Energy Efficiency Impact Assessment - Develop models to quantify both direct and indirect emission reductions from efficiency projects.</t>
  </si>
  <si>
    <t>▪Process Change Analysis -  Develop KPIs that capture system-wide emission and sustainability impacts rather than isolated process metrics, establish cross-functional review teams to identify unintended emission consequences.</t>
  </si>
  <si>
    <t>▪Location-Specific Electrification Strategy - Prioritize electrification projects based on current and forecasted grid carbon intensity, establish partnerships with local utilities to access grid transition planning information, create location-specific electrification roadmaps with optimal timing based on grid greening trajectories.</t>
  </si>
  <si>
    <t xml:space="preserve">▪Impact of increased electricity demand from electrification- Analyze how electrification projects change facility electricity demand patterns and timing relative to other emission reduction measures, calculate total emissions impact considering both direct emission reductions from electrification and indirect emissions from increased grid electricity consumption, identify opportunities where energy efficiency projects reduce the electricity demand increases from electrification measures, analyze how electrification timing coincides with other equipment loads and impacts overall facility peak demand charges, use time-based grid emission factors to accurately assess when increased electricity demand has the lowest carbon impact. </t>
  </si>
  <si>
    <t xml:space="preserve">▪Evaluation includes resiliency and lower maintenance cost as criteria- Evaluate project performance under extreme weather, supply chain disruptions, and equipment failures, calculate comprehensive lifecycle maintenance expenses including parts, labor, training, and vendor support costs, evaluate integration with existing operations, maintenance schedules, and technician skill sets, validate resiliency claims and monitor actual maintenance costs against projections. </t>
  </si>
  <si>
    <t>▪Evaluation include LCA-  Set lifecycle stages to include (cradle-to-gate, use phase, end-of-life) and select relevant impact categories beyond carbon (water use, resource depletion, toxicity), specify required data inputs for energy, materials, waste, and transportation across lifecycle stages,  establish protocols for data gaps and sensitivity analysis, implement peer review documentation standards to ensure LCA credibility</t>
  </si>
  <si>
    <t>▪Peak load demand and billing charges- Map current facility peak demand patterns by time of day, season, and production cycles to identify when maximum electricity consumption occurs, document all utility rate components including demand charges, time-of-use rates, seasonal variations, and penalty structures that affect total electricity costs, calculate how projects will affect peak demand timing and magnitude, including load shifting potential and demand reduction capabilities, calculate monthly and annual demand charge savings or increases based on utility rate structures and projected load changes, evaluate opportunities to shift project operations to lower-cost rate periods and quantify potential savings, include demand charges alongside energy costs in project NPV calculations and payback analysis, quantify benefits of projects that reduce facility-wide peak demand through load management or energy storage capabilities</t>
  </si>
  <si>
    <t>▪Project include reduction of water or waste- Document current water usage by process, facility area, and source type (municipal, well, recycled) to establish baseline consumption and costs, categorize and quantify all waste streams including solid waste, hazardous materials, wastewater discharge, and associated disposal costs, evaluate project impacts on water consumption, recycling opportunities, closed-loop systems, and discharge volume reductions, calculate reductions in waste generation, disposal volumes, hazardous material usage, and potential material recovery or reuse, quantify reduced utility bills, disposal fees, treatment costs, and regulatory compliance expenses from water and waste reduction, assess how projects reduce exposure to environmental violations, discharge permit issues, and changing waste disposal regulations, develop weighted scoring systems that combine water reduction, waste minimization, and cost savings into composite project rankings.</t>
  </si>
  <si>
    <t xml:space="preserve">▪Project on regulation and compliance- Document all applicable environmental regulations, permits, reporting requirements, and compliance deadlines affecting manufacturing operations, determine how projects help close existing compliance gaps or address pending violations and enforcement actions, quantify potential fines, penalties, legal costs, and operational shutdowns that projects help prevent, consider how projects enhance relationships with regulators, community groups, and environmental organizations. </t>
  </si>
  <si>
    <t>▪Apply internal cost of carbon- Set standardized internal carbon prices that reflect anticipated regulatory costs, carbon credit prices, and reputational risks, modify net present value calculations to include carbon cost impacts as operational expenses throughout project lifecycles, adjust required rates of return and payback periods based on projects' carbon intensity, regularly review and update internal carbon pricing based on market developments and regulatory changes.</t>
  </si>
  <si>
    <t>▪Develop a comprehensive evaluation framework that includes quantitative metrics such as carbon reduction potential, cost-effectiveness ratios, and payback period analysis. Conduct technical feasibility assessments covering implementation complexity, scalability evaluation, and technology maturity. Define strategic alignment criteria including regulatory compliance impact, supply chain implications, and brand positioning value. Establish operational impact evaluations encompassing production efficiency effects, resource requirements, and risk assessment. Finally, formulate portfolio management approaches that address project interdependencies and establish performance monitoring systems.</t>
  </si>
  <si>
    <t>Establish a GHG emissions inventory management plan</t>
  </si>
  <si>
    <t xml:space="preserve">Yes, with 3rd party reasonable assurance </t>
  </si>
  <si>
    <t>We have best practices and operating standards for only some of the facilities</t>
  </si>
  <si>
    <t>Highest GHG emitters</t>
  </si>
  <si>
    <t xml:space="preserve"> Advanced monitoring and analysis of most SGEs</t>
  </si>
  <si>
    <r>
      <t xml:space="preserve">Do you benchmark facility/system performance internally or with other industry? </t>
    </r>
    <r>
      <rPr>
        <i/>
        <sz val="14"/>
        <color rgb="FF92D050"/>
        <rFont val="Arial"/>
        <family val="2"/>
      </rPr>
      <t>(Select all that apply)</t>
    </r>
  </si>
  <si>
    <r>
      <t xml:space="preserve">Does your organization have documented best practices and operational standards? </t>
    </r>
    <r>
      <rPr>
        <i/>
        <sz val="14"/>
        <color rgb="FF92D050"/>
        <rFont val="Arial"/>
        <family val="2"/>
      </rPr>
      <t>(Select all that apply)</t>
    </r>
  </si>
  <si>
    <t>Yes we need CCUS and have implemented it</t>
  </si>
  <si>
    <t>We utilize advanced data monitoring and modeling techniques to identify ERMs through analysis of energy consumption patterns.</t>
  </si>
  <si>
    <r>
      <t xml:space="preserve">Does your emission reduction of your ERM help you reach your goal? </t>
    </r>
    <r>
      <rPr>
        <i/>
        <sz val="14"/>
        <color rgb="FFFF0000"/>
        <rFont val="Arial"/>
        <family val="2"/>
      </rPr>
      <t>(Select any one)</t>
    </r>
  </si>
  <si>
    <r>
      <t xml:space="preserve">Which other parameters do you include in sensitivity analyses when evaluating your emission reduction scenarios for your ERP? </t>
    </r>
    <r>
      <rPr>
        <i/>
        <sz val="14"/>
        <color rgb="FF92D050"/>
        <rFont val="Arial"/>
        <family val="2"/>
      </rPr>
      <t>(Select all that apply)</t>
    </r>
  </si>
  <si>
    <t>Evaluating current energy efficiency establishes a baseline to identify the biggest opportunities for cost-effective energy and  emissions reductions before investing in other solutions. This assessment reveals where energy is being wasted and quantifies potential savings, enabling organizations to prioritize high-impact, low-cost improvements first.</t>
  </si>
  <si>
    <t xml:space="preserve">Evaluating onsite renewable energy potential identifies opportunities to generate clean power directly at facilities, reducing both emissions and long-term energy costs while providing greater energy independence. This assessment considers site conditions, regulatory requirements, and integration with existing systems to determine the optimal size and technology for maximum impact. </t>
  </si>
  <si>
    <t xml:space="preserve">Evaluating fugitive emissions identifies often-overlooked sources of greenhouse gas leaks from equipment, pipelines, and processes that can represent significant portions of an organization's total emissions footprint. This assessment reveals cost-effective fugitive emission reduction opportunities. </t>
  </si>
  <si>
    <t>Evaluating alternative technologies and system upgrades identifies opportunities to replace outdated equipment with more efficient solutions that reduce both energy consumption and emissions while often improving operational performance.</t>
  </si>
  <si>
    <t>Implementing energy efficiency measures and operational best practices across all facilities ensures consistent performance improvements and maximizes emission reductions while reducing operational costs.</t>
  </si>
  <si>
    <t>A corporate-wide renewable energy purchasing strategy leverages organizational scale to secure cost-effective clean power through PPAs, RECs, or utility programs while ensuring consistent progress toward emission reduction targets across all facilities. This coordinated approach maximizes purchasing power and creates a unified pathway to decarbonize electricity consumption company-wide.</t>
  </si>
  <si>
    <t xml:space="preserve">Implementing mobile emission reduction strategies addresses transportation-related emissions through fleet electrification, alternative fuel adoption, route optimization, or modal shifts that often represent significant portions of an organization's energy footprint. </t>
  </si>
  <si>
    <r>
      <t xml:space="preserve">Have you started initial implementation of plan and does it align with selected pathway?  </t>
    </r>
    <r>
      <rPr>
        <i/>
        <sz val="14"/>
        <color theme="5"/>
        <rFont val="Arial"/>
        <family val="2"/>
      </rPr>
      <t>(Select any one)</t>
    </r>
  </si>
  <si>
    <t>We are working on implementation of the plan</t>
  </si>
  <si>
    <t>We have a plan and are at the initial stages of implementation</t>
  </si>
  <si>
    <t xml:space="preserve">We are still developing the plan but are taking some action in ad-hoc basis. </t>
  </si>
  <si>
    <t>Modeling different financial scenarios, decision-makers can identify which emission reduction projects remain viable under varying capital market conditions, optimize financing strategies, and adjust internal carbon pricing to align with corporate sustainability goals. This comprehensive financial sensitivity analysis ensures emission reduction plans are resilient to market volatility, enables more strategic capital allocation decisions</t>
  </si>
  <si>
    <t>What are the best practices you have implemented for procurement practices that have significantly benefited your organization's ERP development process ? (Select all that apply)</t>
  </si>
  <si>
    <t>Allocate dedicated funding and establish realistic implementation timelines that account for potential barriers such as regulatory delays, supply chain issues, or stakeholder resistance to ensure successful deployment of your emission reduction initiatives. Proper resource allocation and barrier assessment upfront prevents project delays and cost overruns that could derail your sustainability goals.</t>
  </si>
  <si>
    <t>Implement robust monitoring systems to track actual energy and emission reductions against baseline targets, enabling data-driven adjustments to optimize performance and demonstrate tangible progress toward your sustainability goals. Regular measurement and third-party verification builds credibility with stakeholders and ensures accountability for achieving your emission reduction commitments.</t>
  </si>
  <si>
    <t>Regularly review and update your emission reduction plan to adapt to changing technologies, regulatory requirements, and business conditions, ensuring continued alignment with your reduction targets and maximizing effectiveness. Periodic plan revisions allow you to incorporate lessons learned, integrate new opportunities, and maintain momentum toward achieving your emission reduction goals.</t>
  </si>
  <si>
    <t>Publicly reported GHG targets provide transparency, accountability, and credibility to emissions reduction efforts. Targets help organizations accurately measure and quantify emissions reductions. Setting ambitious GHG emissions targets  help increase support from senior management and secure funding for internal GHG reduction opportunities.</t>
  </si>
  <si>
    <t>Framework for Greenhouse Gas Emissions Reduction Planning: Industrial Portfolios
The Framework for Greenhouse Gas Emissions Reduction Planning for Industrial Portfolios guides organizations in developing comprehensive Emissions Reduction Plans (ERPs) to address their Scope 1 and Scope 2 emissions. These plans are designed to work across an organization's entire facility portfolio while providing practical, facility-specific guidance. Through the ERP development process, organizations gain the ability to thoroughly analyze their emissions sources, establish ambitious reduction targets aligned with initiatives like the DOE's Better Climate Challenge, and identify viable mitigation strategies. The framework helps organizations overcome their unique barriers by creating a phased implementation approach, enabling effective communication of their strategy both internally and externally, and establishing methods to track progress toward their emissions reduction goals.
To learn more visit: https://betterbuildingssolutioncenter.energy.gov/sites/default/files/attachments/ERP_Framework_Industrial_Portfolios.pdf</t>
  </si>
  <si>
    <t>The Emission Reduction Plan Gap Assessment Tool serves as a comprehensive self-evaluation framework designed to help organizations assess and strengthen their emission reduction strategies aligned with ERP. This interactive tool systematically evaluates the completeness and robustness of an organization's emission reduction roadmap through a milestone-based assessment approach.</t>
  </si>
  <si>
    <r>
      <rPr>
        <b/>
        <sz val="12"/>
        <color theme="1"/>
        <rFont val="Arial"/>
        <family val="2"/>
      </rPr>
      <t xml:space="preserve">Core Function 
</t>
    </r>
    <r>
      <rPr>
        <sz val="12"/>
        <color theme="1"/>
        <rFont val="Arial"/>
        <family val="2"/>
      </rPr>
      <t>The Emission Reduction Plan gap assessment tool guides organizations through a structured evaluation of their emission reduction planning efforts. Through milestone-based questions with predefined response options, the tool measures the maturity and completeness of an organization's approach to emissions reduction. Users receive quantitative scores reflecting their planning robustness, along with targeted feedback to improve areas where gaps are identified. This systematic approach helps organizations assess their current status and obtain practical guidance for strengthening their roadmap.</t>
    </r>
  </si>
  <si>
    <r>
      <rPr>
        <b/>
        <sz val="12"/>
        <color theme="1"/>
        <rFont val="Arial"/>
        <family val="2"/>
      </rPr>
      <t>Strategic Value:</t>
    </r>
    <r>
      <rPr>
        <sz val="12"/>
        <color theme="1"/>
        <rFont val="Arial"/>
        <family val="2"/>
      </rPr>
      <t xml:space="preserve">
- Objectively evaluate their current roadmap development status
- Identify critical gaps in their emission reduction strategy
- Prioritize areas requiring additional development
- Track progress as they enhance their plans
- Align their planning efforts with established best practices
- Create a robust roadmap with proven effectiveness in real-world deployment </t>
    </r>
  </si>
  <si>
    <r>
      <rPr>
        <b/>
        <sz val="12"/>
        <color theme="1"/>
        <rFont val="Arial"/>
        <family val="2"/>
      </rPr>
      <t>Improvement Guidance</t>
    </r>
    <r>
      <rPr>
        <sz val="12"/>
        <color theme="1"/>
        <rFont val="Arial"/>
        <family val="2"/>
      </rPr>
      <t xml:space="preserve">
- Specific recommendations for improving ERP components
- Best practice examples and guidelines
- Resources and references for further development</t>
    </r>
  </si>
  <si>
    <t>Organizations should establish standardized processes to collect, quantify, and verify emissions data across facilities to create a comprehensive GHG inventory following the Greenhouse Gas Protocol, which must include Scope 1 (direct emissions from owned sources), Scope 2 (indirect emissions from purchased energy), and optionally Scope 3 (value chain emissions). The inventory should account for all significant emission sources, including energy-related emissions from boilers and vehicles, non-energy emissions from industrial processes, and fugitive emissions from fluorinated gases. Understanding which sources contribute most significantly to the organization's GHG emissions helps identify strategic reduction opportunities, such as prioritizing renewable electricity for high Scope 2 emitters or focusing on electrification and alternate fuel switching for those with predominantly Scope 1 emissions.</t>
  </si>
  <si>
    <t>Organizations need to strategically determine which systems and facilities to prioritize in their emission reduction efforts, typically focusing on SGEs but also considering factors like cost, location and scalability. The prioritization approach may vary based on risk tolerance implementation capacity, state and local policies, incentives, and  fuel prices.</t>
  </si>
  <si>
    <t>We prioritize common emission sources that appear across multiple facilities and present significant emission reduction challenges</t>
  </si>
  <si>
    <t>Organizations should catalog and categorize their facilities and processes according to their emission levels and other key characteristics visualize and prioritize emission opportunities. This systematic approach helps identify common patterns and features across the portfolio, enabling more efficient scaling of successful emission reduction initiatives while minimizing disruption and avoiding decisions that could lock in future emissions.</t>
  </si>
  <si>
    <r>
      <t>Please list any SGEs you have not found alternate fuel technologies for?</t>
    </r>
    <r>
      <rPr>
        <i/>
        <sz val="14"/>
        <color theme="1" tint="0.499984740745262"/>
        <rFont val="Arial"/>
        <family val="2"/>
      </rPr>
      <t xml:space="preserve"> (Type in your answer)</t>
    </r>
  </si>
  <si>
    <t>Impact of decrease in traditional fuel consumption due to transition to alternate fuels</t>
  </si>
  <si>
    <t>High - Alternate fuel</t>
  </si>
  <si>
    <t>Medium - Alternate fuel</t>
  </si>
  <si>
    <t>Low - Alternate fuel</t>
  </si>
  <si>
    <t>No - Alternate fuel</t>
  </si>
  <si>
    <t>Emission reduction scenarios model has different combinations of energy efficiency, renewable energy purchases, and alternate fuel switching to quantify the optimal mix needed to achieve specific emission reduction targets cost-effectively. These scenarios should include a business-as-usual baseline and alternative scenarios reflecting likely changes in operations, regulations, or market conditions that could significantly impact the company's emissions trajectory and emission reduction strategy.</t>
  </si>
  <si>
    <r>
      <t xml:space="preserve">Which emission reduction scenarios do you expect will deliver the most significant reductions for your organization? For each pillar, please indicate the expected impact level (High &gt;45%, Medium 16-44%, Low 0-15%) based on projected percentage of absolute emissions reduction ? </t>
    </r>
    <r>
      <rPr>
        <sz val="14"/>
        <color rgb="FF92D050"/>
        <rFont val="Arial"/>
        <family val="2"/>
      </rPr>
      <t>(</t>
    </r>
    <r>
      <rPr>
        <i/>
        <sz val="14"/>
        <color rgb="FF92D050"/>
        <rFont val="Arial"/>
        <family val="2"/>
      </rPr>
      <t xml:space="preserve">Select all that apply for </t>
    </r>
    <r>
      <rPr>
        <b/>
        <i/>
        <sz val="14"/>
        <color rgb="FF92D050"/>
        <rFont val="Arial"/>
        <family val="2"/>
      </rPr>
      <t>each scenario</t>
    </r>
    <r>
      <rPr>
        <i/>
        <sz val="14"/>
        <color rgb="FF92D050"/>
        <rFont val="Arial"/>
        <family val="2"/>
      </rPr>
      <t>)</t>
    </r>
  </si>
  <si>
    <r>
      <t xml:space="preserve">Which parameters do you anticipate will affect your selected emission reduction scenario to ensure successful energy roadmap planning and implementation?  </t>
    </r>
    <r>
      <rPr>
        <i/>
        <sz val="14"/>
        <color rgb="FF92D050"/>
        <rFont val="Arial"/>
        <family val="2"/>
      </rPr>
      <t>(Select all that apply)</t>
    </r>
  </si>
  <si>
    <t xml:space="preserve">Conducting sensitivity analysis around portfolio changes such as acquisitions, divestments, expansions, and facility modifications helps organizations understand how business growth or restructuring will impact their emission reduction targets and implementation strategies. This analysis ensures emission reduction plans remain flexible and achievable even as the company's operational footprint changes, preventing business decisions from derailing commitments. </t>
  </si>
  <si>
    <t>Modeling different cost scenarios, decision-makers can identify which projects remain attractive under various economic conditions and build contingency plans that ensure emission reduction goals are met even when market conditions change. This analysis strengthens the robustness of emission reduction plans by revealing project vulnerabilities, highlighting resilient opportunities, and enabling more confident long-term investment decisions in emission reduction initiatives.</t>
  </si>
  <si>
    <t>Conducting sensitivity analysis on operational factors such as grid emission trends, technology maturity and scalability, alternative energy availability, demand fluctuations, and regulatory requirements helps organizations assess how external variables impact project feasibility and emission reduction effectiveness. By modeling different scenarios across these key drivers, decision-makers can identify which emission reduction strategies remain robust under changing market, technological, and regulatory conditions.</t>
  </si>
  <si>
    <t>Emission reduction scenarios should conducting sensitivity analysis around energy cost fluctuations, financing availability, and technology readiness levels helps organizations develop robust emission reduction plans that remain viable under different market conditions and ensures backup strategies are in place to maintain progress toward emission reduction goals.</t>
  </si>
  <si>
    <t>Conducting sensitivity analysis on emission impact variables such as energy efficiency outcomes, downstream process changes, location-specific grid emission effects, electrification demand offset by renewables, and reduced traditional fuel consumption helps organizations accurately quantify the true carbon reduction potential of their projects. This analysis ensures realistic forecasting of emission trajectories and enables selection of project combinations that maximize total emission impact across the entire portfolio.</t>
  </si>
  <si>
    <t>Identifying and quantifying emission reduction projects creates a prioritized portfolio of emission reduction opportunities, enabling organizations to strategically select initiatives based on their energy savings, carbon impact, and cost-effectiveness. Comprehensive project information including emissions reduction potential, cost-benefit analysis, infrastructure requirements, implementation efforts (including potential downtime and production disruptions), vendor options with cost estimates, and anticipated deployment timelines allows decision-makers to assess both high-impact flagship projects and the full spectrum of opportunities. This detailed data-driven approach ensures emission reduction plans are both ambitious and achievable, providing stakeholders with the complete picture needed to optimize capital allocation, sequence implementations effectively, and develop realistic timelines for meeting emission reduction targets</t>
  </si>
  <si>
    <r>
      <t xml:space="preserve">How does your company plan to evaluate alternate fuel technology options for your major emission sources? </t>
    </r>
    <r>
      <rPr>
        <i/>
        <sz val="14"/>
        <color theme="4"/>
        <rFont val="Arial"/>
        <family val="2"/>
      </rPr>
      <t>(Type in your answer) {Please rank the following from 1 (highest priority) to 4 (lowest priority)}</t>
    </r>
  </si>
  <si>
    <t xml:space="preserve">Evaluating alternate fuel switching identifies opportunities to replace high-emission fuels with cleaner alternatives like renewable natural gas, hydrogen, or biofuels, but requires assessing infrastructure modifications and supply chain reliability. This evaluation must consider fuel availability, delivery logistics, and equipment upgrades to ensure consistent access to alternate fuels without operational disruptions. </t>
  </si>
  <si>
    <r>
      <t xml:space="preserve">Have you evaluated your sites for stationary alternate fuel switching opportunities? </t>
    </r>
    <r>
      <rPr>
        <i/>
        <sz val="14"/>
        <color theme="5"/>
        <rFont val="Arial"/>
        <family val="2"/>
      </rPr>
      <t>(Select any one)</t>
    </r>
  </si>
  <si>
    <t xml:space="preserve">Yes, only at facilities that have taken initiative or have opportunities for alternate fuel switching ERMs </t>
  </si>
  <si>
    <r>
      <t xml:space="preserve">Have you assessed capacity and infrastructure upgrade needed for alternate fuel switching ERMs? </t>
    </r>
    <r>
      <rPr>
        <i/>
        <sz val="14"/>
        <color theme="5"/>
        <rFont val="Arial"/>
        <family val="2"/>
      </rPr>
      <t>(Select any one)</t>
    </r>
  </si>
  <si>
    <t xml:space="preserve">Yes, we know what capacity and infrastructure upgrade needed for alternate fuel switching ERMs </t>
  </si>
  <si>
    <t xml:space="preserve">No, we are in process of assessing infrastructure upgrade for alternate fuel switching ERMs </t>
  </si>
  <si>
    <t xml:space="preserve">No, we are not planning on pursuing alternate fuel switching ERMs </t>
  </si>
  <si>
    <t>Energy Bootcamps</t>
  </si>
  <si>
    <t>Evaluating electrification opportunities identifies which systems can be converted from fossil fuels to electric power, but this assessment must include infrastructure upgrades and renewable energy planning to ensure real emissions reductions. Without considering grid emission projections and necessary electrical infrastructure investments, electrification may simply shift emissions rather than eliminate them. A comprehensive electrification evaluation ensures the transition timing aligns with clean grid availability and accounts for all required infrastructure costs.</t>
  </si>
  <si>
    <t xml:space="preserve">Evaluating carbon capture and sequestration identifies opportunities to address unavoidable emissions from industrial processes or energy systems where other options are limited or uneconomical. This assessment ensures CCS investments target the right emission sources and integrate effectively with the overall emission reduction strategy. </t>
  </si>
  <si>
    <t>Identifying sufficient emission reduction measures requires comprehensive data monitoring, energy assessments, treasure hunts, and external expertise to uncover all viable opportunities and ensure the roadmap achieves meaningful targets. This thorough approach prevents organizations from missing cost-effective measures or falling short of their emission reduction goals due to incomplete opportunity identification.</t>
  </si>
  <si>
    <t>Emission Reduction Pathways</t>
  </si>
  <si>
    <t>Establishing strong governance practices including dedicated sustainability teams, performance incentives tied to emission reductions, employee recognition programs, risk assessments, and transparent public reporting creates the organizational framework necessary for successful emission reduction plan development and deployment. Effective governance ensures accountability, aligns incentives across the organization, and provides the structural support needed to execute emission reduction initiatives while meeting stakeholder expectations and regulatory requirements.</t>
  </si>
  <si>
    <t>Develop sustainability teams to support emission reduction effort</t>
  </si>
  <si>
    <t>Implementing robust operation and maintenance best practices including preventive maintenance programs, employee training on new technologies, leak detection systems, equipment lifecycle tracking, efficiency standards, and advanced fault detection analytics ensures emission reduction projects deliver sustained performance throughout their operational life. These practices are critical for maintaining the energy savings and carbon reductions projected in the emission reduction plan, preventing performance degradation that could undermine goals.</t>
  </si>
  <si>
    <t>Implementing comprehensive operation and maintenance best practices is essential for ensuring emission reduction projects maintain their projected energy savings and carbon reductions throughout their operational lifespan, preventing performance degradation that could undermine goals. Without proper O&amp;M protocols, even well-designed emission reduction initiatives can fail to deliver expected results, jeopardizing the organization's ability to meet targets and realize anticipated cost savings.</t>
  </si>
  <si>
    <t>Implementing comprehensive employee training programs including C-suite sustainability education, providing quantification tools and resources, offering certification opportunities, and designating subject matter experts creates the skilled workforce necessary to successfully develop and deploy emission reduction plans. Well-trained employees at all levels are essential for identifying opportunities, executing projects effectively, and sustaining long-term performance of emission reduction initiatives across the organization.</t>
  </si>
  <si>
    <t>Provide resources and tools to employees to help quantifying emission reduction opportunities</t>
  </si>
  <si>
    <t>Provide certification information to help develop workforce to help reduce emissions</t>
  </si>
  <si>
    <t>Implementing strategic procurement best practices including engaging procurement teams for renewable energy and alternate fuel purchases, planning equipment replacements with best available technology, and collaborating with supply chains to reduce Scope 3 emissions is critical for successful emission reduction plan deployment. Effective procurement ensures organizations can access the technologies, fuels, and supplier partnerships necessary to achieve their emission reduction goals while maximizing cost-effectiveness and supply chain resilience.</t>
  </si>
  <si>
    <t>Implementing external financing best practices including updated financial metrics (NPV, ROI, IRR), effective third-party financing mechanisms like green bonds and performance contracts, streamlined corporate financing processes, and internal carbon pricing creates the capital access and evaluation framework necessary for successful emission reduction plan deployment. These financing strategies lower implementation barriers and enable organizations to fund  projects that might otherwise be constrained by traditional capital allocation approaches.</t>
  </si>
  <si>
    <t>Implementing effective communication best practices including external stakeholder engagement, internal employee communication, public forum participation, and leveraging sustainability achievements for industry recognition builds the organizational support and accountability necessary for successful emission reduction plan deployment. Strategic communication ensures stakeholder buy-in, employee engagement, and public visibility that drives sustained commitment to emission reduction goals while enhancing the organization's reputation and competitive positioning.</t>
  </si>
  <si>
    <t>Develop external communication for stakeholders to demonstrate emission reduction efforts</t>
  </si>
  <si>
    <t>Develop internal communication to engage employees on emission reduction efforts</t>
  </si>
  <si>
    <t>Help publicize major emission reduction efforts through public forums</t>
  </si>
  <si>
    <t>Successful financing mechanisms, whether through internal capital allocation or external funding sources like green bonds, performance contracts, and third-party financing, provide the essential capital needed to transform emission reduction plans from strategy into reality. Access to appropriate financing removes implementation barriers and enables organizations to deploy projects at the scale and pace required to meet their goals.</t>
  </si>
  <si>
    <t>Securing buy-in from both internal stakeholders (executives, employees, board members) and external stakeholders (investors, customers, regulators, communities) is critical for emission reduction plan deployment, as it ensures the organizational commitment, resources, and support necessary for successful project execution. Strong stakeholder alignment creates accountability, facilitates resource allocation, and maintains momentum throughout the implementation process, while also mitigating risks from resistance or lack of support that could derail emission reduction initiatives.</t>
  </si>
  <si>
    <t>Successful implementation of the emission reduction plan is critical to achieving emission reduction goals, as even the most well-designed strategies only deliver results when projects are executed effectively and on schedule.</t>
  </si>
  <si>
    <t>Carbon credit trading partners (Carbon Trade Exchange, Expansive etc.)</t>
  </si>
  <si>
    <t>Industry associations (Steel manufacturers Association, American Automotive Policy Council)</t>
  </si>
  <si>
    <r>
      <t xml:space="preserve">Scope 2 Other (Steam, Compressed Air, etc.) </t>
    </r>
    <r>
      <rPr>
        <i/>
        <sz val="14"/>
        <color theme="5"/>
        <rFont val="Arial"/>
        <family val="2"/>
      </rPr>
      <t>(Select any one)</t>
    </r>
  </si>
  <si>
    <r>
      <t>Do you have other strategic goals? (E.g.: Energy-intensity target or Scope 3 reductions)</t>
    </r>
    <r>
      <rPr>
        <sz val="14"/>
        <color theme="5" tint="0.39997558519241921"/>
        <rFont val="Arial"/>
        <family val="2"/>
      </rPr>
      <t xml:space="preserve"> </t>
    </r>
    <r>
      <rPr>
        <i/>
        <sz val="14"/>
        <color theme="0" tint="-0.499984740745262"/>
        <rFont val="Arial"/>
        <family val="2"/>
      </rPr>
      <t xml:space="preserve">(Type in your answer) </t>
    </r>
  </si>
  <si>
    <t>Environmental, ESG or Sustainability teams</t>
  </si>
  <si>
    <t>Implementing complementary projects like demand management, grid resilience, and material efficiency creates additional emission reduction pathways while improving operational performance and cost savings. Companies should continuously evaluate emerging alternate technologies to identify cost-effective solutions that enhance their emission reduction roadmap as technologies mature and costs decline.</t>
  </si>
  <si>
    <t xml:space="preserve">▪Impact of decrease in traditional fuel consumption due to transition to low-carbon alternatives-  Document current natural gas, diesel, coal, and other fossil fuel usage by process, equipment, and facility to establish reduction potential baselines, evaluate low-carbon substitutes  and their interaction with existing fuel systems and infrastructure,  evaluate how fuel switching affects overall process efficiency and creates synergies with other emission reduction measures like heat recovery systems, calculate avoided costs from reduced traditional fuel purchases, including price volatility hedging and long-term contract obligations, calculate combined emission benefits when fuel switching projects complement energy efficiency and renewable energy measures. </t>
  </si>
  <si>
    <r>
      <t xml:space="preserve">What are the governance best practices you have implemented that have significantly benefited your organization's ERP development process? </t>
    </r>
    <r>
      <rPr>
        <i/>
        <sz val="14"/>
        <color rgb="FF92D050"/>
        <rFont val="Arial"/>
        <family val="2"/>
      </rPr>
      <t>(Select all that apply)</t>
    </r>
  </si>
  <si>
    <t>▪Performance bonuses- Allocate a certain % of total executive bonus potential to sustainability performance metrics, Balance leading indicators (implementation of sustainability initiatives) with lagging indicators (actual environmental outcomes), Include both quantitative metrics (emission reductions, renewable energy adoption) and qualitative assessments (stakeholder engagement, innovation in sustainable practices), implement third-party verification for all sustainability metrics used in compensation calculations</t>
  </si>
  <si>
    <t>Assess physical and transition risk related to emission reduction</t>
  </si>
  <si>
    <t>▪Building and production equipment efficiency standards- Create detailed inventories of all equipment including age, efficiency ratings, maintenance history, and energy consumption data, create equipment replacement criteria based on age, deterioration, and total cost of ownership, install sub-metering systems to track energy consumption at the equipment and process level, establish key performance indicators such as energy per unit of production, peak demand patterns, and equipment utilization rates, implement mandatory efficiency upgrades during major equipment overhauls or facility renovations</t>
  </si>
  <si>
    <t xml:space="preserve">Areas of Successful ERP Execution </t>
  </si>
  <si>
    <t>This score is based on evaluation of your companies emission reduction strategies based on DOE's Emission Reduction Planning Framework for Industrial Sector. By highlighting both areas of excellence and improvement opportunities, it enables organizations to develop comprehensive, actionable decarbonization roadmaps aligned with the Framework. The assessment provides targeted feedback on critical milestones and core requirements to accelerate progress toward emissions targets.</t>
  </si>
  <si>
    <t>Task 1.9: Carbon Capture, Utilization and Storage</t>
  </si>
  <si>
    <t>Carbon Capture, Utilization, and Storage (CCUS) is a critical technology for reducing emissions from industrial and power sectors, enabling low-carbon hydrogen production, and removing CO2 from the atmosphere to support clean energy transitions</t>
  </si>
  <si>
    <t>This resource presents a new methodology that embraces the aspects of traditional MAC curves that make them so compelling (e.g., simplicity and accessibility) while also addressing their limitations. Traditional marginal abatement cost (MAC) curves have become the de facto starting point for comparing emission reduction measures since being popularized by McKinsey &amp; Company more than a decade ago. However, traditional MAC methodologies are ill-suited to the task of today — analyzing the coordinated deployment of low- and zero-carbon measures required to reach net-zero energy systems by 2050.</t>
  </si>
  <si>
    <t>Task 1.2 : Essential guide to enhancing investor engagement</t>
  </si>
  <si>
    <t>This resource contains maturity map is designed to enable you to assess what you are currently doing and how you can advance to a leading position. It has been developed as a way of capturing the different dimensions of enhanced investor engagement.</t>
  </si>
  <si>
    <t xml:space="preserve">•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emission reduction goals. </t>
  </si>
  <si>
    <t>• A facility-level emission reduction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t>
  </si>
  <si>
    <t>When evaluating electrification projects, incorporate planned/projected renewable energy purchases and grid emission to enhance the business case. The analysis should consider increasing carbon reduction benefits as grid emissions decrease and opportunities to stage implementation with renewable energy deployment timelines.</t>
  </si>
  <si>
    <t>•These enhancements would help secure stronger buy-in from stakeholders before officially releasing your emission reduction plan.</t>
  </si>
  <si>
    <t>•Particularly impressive is your thorough evaluation of how these various scenarios would impact your emission reduction trajectory, allowing for adaptive planning rather than rigid pathways. This scenario-based methodology creates resilience in your climate strategy, ensuring it remains relevant and effective despite changing business conditions, regulatory landscapes, or technological developments.</t>
  </si>
  <si>
    <t>• A portfolio-level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t>
  </si>
  <si>
    <t xml:space="preserve">In addition to assessing emission reduction potential from key emission reduction pillars companies should consider energy projects related to energy demand flexibility, grid resiliency and interactivity, material efficiency and product circularity, beyond-the-fence line (co-owned or third-party solutions) that can help reduce GHG emissions. </t>
  </si>
  <si>
    <r>
      <t xml:space="preserve">Organization might in some cases need additional help with evaluating alternate fuel technology.
</t>
    </r>
    <r>
      <rPr>
        <b/>
        <sz val="10"/>
        <color theme="1"/>
        <rFont val="Arial"/>
        <family val="2"/>
      </rPr>
      <t xml:space="preserve">Key Actions:
</t>
    </r>
    <r>
      <rPr>
        <sz val="10"/>
        <color theme="1"/>
        <rFont val="Arial"/>
        <family val="2"/>
      </rPr>
      <t>1)Engage specialized engineering consultants to conduct source-specific evaluations, request detailed technical specifications and performance guarantees.
2)Select representative facilities for initial pilot technology deployment, establish clear success metrics. 
3)Participate in industry working groups focused on emission reduction, join technology consortiums and innovation networks, engage with peer companies on lessons learned.</t>
    </r>
  </si>
  <si>
    <t>• Developing multiple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t>
  </si>
  <si>
    <t>• Your organization demonstrates exceptional foresight in identifying key scenarios that could impact your emission reduction roadmap, showcasing strategic thinking. By proactively considering these variables, you've established a foundation for resilient climate action that can adapt to changing conditions while maintaining progress toward your emissions reduction goals.</t>
  </si>
  <si>
    <r>
      <t xml:space="preserve">Relying on a single strategy creates unnecessary vulnerability for companies committed to reducing their emission footprint. Multiple pathways provide crucial risk mitigation against potential technology failures or market volatility. Different operations within a company require tailored solutions rather than a one-size-fits-all approach. Combining quick-win solutions like energy efficiency with longer-term transformations creates both immediate results and strategic progress.  A diverse strategy allows simultaneous targeting of scope 1 and  2 emissions while prioritizing high-impact areas. 
Key Actions: 
1) </t>
    </r>
    <r>
      <rPr>
        <b/>
        <sz val="10"/>
        <color theme="1"/>
        <rFont val="Arial"/>
        <family val="2"/>
      </rPr>
      <t>Comprehensive Assessment and Strategy Development</t>
    </r>
    <r>
      <rPr>
        <sz val="10"/>
        <color theme="1"/>
        <rFont val="Arial"/>
        <family val="2"/>
      </rPr>
      <t xml:space="preserve">- Conduct a detailed carbon footprint analysis across Scope 1 and 2, identify the highest-impact areas and "quick win" opportunities, develop a portfolio of complementary strategies rather than a single solution 
2) </t>
    </r>
    <r>
      <rPr>
        <b/>
        <sz val="10"/>
        <color theme="1"/>
        <rFont val="Arial"/>
        <family val="2"/>
      </rPr>
      <t>Energy Transition Actions</t>
    </r>
    <r>
      <rPr>
        <sz val="10"/>
        <color theme="1"/>
        <rFont val="Arial"/>
        <family val="2"/>
      </rPr>
      <t>- Implement energy efficiency programs across facilities (lighting, HVAC, insulation), invest in on-site renewable energy generation where feasible, establish power purchase agreements (PPAs) for renewable electricity, explore clean thermal energy solutions for industrial processes.</t>
    </r>
  </si>
  <si>
    <t>• Corporate emission strategies must anticipate portfolio changes from acquisitions, divestments, and capacity expansions, building flexibility to maintain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alternate fuel technologies rather than relying on future retrofits.</t>
  </si>
  <si>
    <t>• Your company's strategic approach to estimating how future business portfolio changes will impact your plan demonstrates exceptional forward thinking and integration of sustainability into core business planning. By quantifying these potential effects will allow your emission reduction efforts evolve alongside your business growth and position yourself captturing emerging opportunities.</t>
  </si>
  <si>
    <t>• Systematically evaluating emission reduction projects across multiple dimensions allows companies to develop roadmaps that balance immediate impact with strategic positioning, prioritizing initiatives with the highest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t>
  </si>
  <si>
    <t>• Your company's thorough quantification of emissions reduction potential and all other critical parameters demonstrates rigor and strategic foresight in your planning. This helps create a clear roadmap for achieving your emission goals while maintaining business continuity. Translating  ambitions into detailed operational and financial metrics will drive meaningful climate action while creating long-term value for stakeholders.</t>
  </si>
  <si>
    <t>Systematically evaluating projects across different dimensions, companies can develop  roadmaps that balance immediate impact with strategic positioning, financial efficiency with operational feasibility, and ambitious goals with practical implementation realities. Understanding the precise reduction potential of each project allows companies to prioritize initiatives with the highest impact and making meaningful contributions toward their targets. Comprehensive cost-benefit analysis reveals which projects deliver the most emission reduction per dollar invested. understanding the needs of infrastructure demand helps companies anticipate potential bottlenecks and prepare necessary groundwork in advance. Projects requiring extensive downtime may need to align with scheduled maintenance periods or seasonal demand fluctuations. Companies can sequence projects to minimize operational impacts while maintaining progress toward emission targets. Multiple vendor options create negotiation leverage and reduce dependency risks. Near-term projects can deliver immediate progress while foundational work proceeds on longer-term solutions. This temporal planning also allows companies to align investments with anticipated technology improvements, potentially capturing cost reductions by timing deployments with market maturity.</t>
  </si>
  <si>
    <t>• Defining scenarios and  accounting for critical cost variables enables companies to create emission reduction strategies that remain economically viable through market fluctuations, technological changes, and macroeconomic shifts, particularly as fossil fuel prices, alternate fuel markets, and electricity costs evolve. Companies should integrate financing parameters like interest rates and funding mechanisms into emission reduction planning, creating structured approaches such as internal carbon pricing, dedicated capital allocations, and revolving sustainability funds that ensure climate projects don't compete directly against core business investments. Organizations must model grid emission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roadmaps.</t>
  </si>
  <si>
    <t>• Your company's foresight in defining comprehensive cost and financial scenarios demonstrates strategic planning for emission reduction. Evaluating technological readiness you've created a robust analytical framework that accounts for the full spectrum of transition uncertainties. This scenario-bas approach not only strengthens your climate strategy's resilience against market volatility but also positions your organization to make informed investment decisions that balance immediate business needs with long-term goals.</t>
  </si>
  <si>
    <r>
      <t xml:space="preserve">By integrating these financing parameters into  planning, companies develop more comprehensive strategies that extend beyond technical feasibility to ensure financial viability. The interest rates and financing terms available through green bonds, sustainability-linked loans, and specialized equipment financing directly influence project viability. Implementing an internal cost of carbon transforms abstract climate risks into tangible financial metrics that align with corporate decision-making processes. Dedicated capital expenditure allocations and revolving sustainability funds create reliable, protected financing streams for emission reduction initiatives. These structured funding approaches ensure climate projects don't compete directly against core business investments, providing implementation certainty that spans multiple budget cycles. 
</t>
    </r>
    <r>
      <rPr>
        <b/>
        <sz val="11"/>
        <color theme="1"/>
        <rFont val="Aptos Narrow"/>
        <family val="2"/>
        <scheme val="minor"/>
      </rPr>
      <t xml:space="preserve">Key Actions:
</t>
    </r>
    <r>
      <rPr>
        <sz val="11"/>
        <color theme="1"/>
        <rFont val="Aptos Narrow"/>
        <family val="2"/>
        <scheme val="minor"/>
      </rPr>
      <t xml:space="preserve">1) </t>
    </r>
    <r>
      <rPr>
        <b/>
        <sz val="11"/>
        <color theme="1"/>
        <rFont val="Aptos Narrow"/>
        <family val="2"/>
        <scheme val="minor"/>
      </rPr>
      <t>Develop a Green Financing Strategy</t>
    </r>
    <r>
      <rPr>
        <sz val="11"/>
        <color theme="1"/>
        <rFont val="Aptos Narrow"/>
        <family val="2"/>
        <scheme val="minor"/>
      </rPr>
      <t>-  Build relationships with financial institutions offering sustainability-linked loans and green bonds and Train finance teams on how to structure projects to maximize eligibility for favorable financing
2)</t>
    </r>
    <r>
      <rPr>
        <b/>
        <sz val="11"/>
        <color theme="1"/>
        <rFont val="Aptos Narrow"/>
        <family val="2"/>
        <scheme val="minor"/>
      </rPr>
      <t xml:space="preserve"> Create Dedicated Funding Mechanisms</t>
    </r>
    <r>
      <rPr>
        <sz val="11"/>
        <color theme="1"/>
        <rFont val="Aptos Narrow"/>
        <family val="2"/>
        <scheme val="minor"/>
      </rPr>
      <t>- Establish a revolving sustainability fund that reinvests savings from completed projects. Develop multi-year funding commitments that transcend annual budget cycles for strategic projects
3)</t>
    </r>
    <r>
      <rPr>
        <b/>
        <sz val="11"/>
        <color theme="1"/>
        <rFont val="Aptos Narrow"/>
        <family val="2"/>
        <scheme val="minor"/>
      </rPr>
      <t>Establish an Internal Carbon Price-</t>
    </r>
    <r>
      <rPr>
        <sz val="11"/>
        <color theme="1"/>
        <rFont val="Aptos Narrow"/>
        <family val="2"/>
        <scheme val="minor"/>
      </rPr>
      <t xml:space="preserve">  If considering  internal cost of carbon- set a meaningful internal carbon price that reflects both current and anticipated future carbon costs
4)</t>
    </r>
    <r>
      <rPr>
        <b/>
        <sz val="11"/>
        <color theme="1"/>
        <rFont val="Aptos Narrow"/>
        <family val="2"/>
        <scheme val="minor"/>
      </rPr>
      <t xml:space="preserve"> Integrate With Financial Planning</t>
    </r>
    <r>
      <rPr>
        <sz val="11"/>
        <color theme="1"/>
        <rFont val="Aptos Narrow"/>
        <family val="2"/>
        <scheme val="minor"/>
      </rPr>
      <t>- Incorporate climate risk assessment into long-term financial planning, model how different carbon price scenarios would impact company financials</t>
    </r>
  </si>
  <si>
    <t>• Developing comprehensive cost, technology, and financial scenarios for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t>
  </si>
  <si>
    <r>
      <t xml:space="preserve">Grid transformation timelines directly impact the emissions reduction potential of electrification initiatives. Organizations that model various grid transformation scenarios can properly time electrification investments to maximize carbon benefits while avoiding premature equipment transitions. By assessing technologies along a readiness spectrum, organizations can balance innovation with reliability, differentiating between proven solutions for immediate deployment and emerging technologies requiring pilot testing. Companies must assess current and projected availability of these resources when planning hard-to-abate emission reductions in operations like high-temperature industrial processes or heavy transport. companies must project how electrification, efficiency improvements, and production changes will reshape their energy profile over time. This analysis identifies potential constraints in utility capacity that could hinderefforts and highlights opportunities to reduce peak demand through load shifting or storage. Companies must assess how permitting processes for new technologies or facility modifications might affect implementation schedules.
</t>
    </r>
    <r>
      <rPr>
        <b/>
        <sz val="10"/>
        <color theme="1"/>
        <rFont val="Arial"/>
        <family val="2"/>
      </rPr>
      <t xml:space="preserve">Key Actions:
</t>
    </r>
    <r>
      <rPr>
        <sz val="10"/>
        <color theme="1"/>
        <rFont val="Arial"/>
        <family val="2"/>
      </rPr>
      <t xml:space="preserve">1) </t>
    </r>
    <r>
      <rPr>
        <b/>
        <sz val="10"/>
        <color theme="1"/>
        <rFont val="Arial"/>
        <family val="2"/>
      </rPr>
      <t xml:space="preserve">Grid Transition Planning- </t>
    </r>
    <r>
      <rPr>
        <sz val="10"/>
        <color theme="1"/>
        <rFont val="Arial"/>
        <family val="2"/>
      </rPr>
      <t>Map operations against regional grid trasnformation timelines, Explore power purchase agreements to secure renewable electricity, model impacts of different grid evolution scenarios on your targets.</t>
    </r>
    <r>
      <rPr>
        <b/>
        <sz val="10"/>
        <color theme="1"/>
        <rFont val="Arial"/>
        <family val="2"/>
      </rPr>
      <t xml:space="preserve">
</t>
    </r>
    <r>
      <rPr>
        <sz val="10"/>
        <color theme="1"/>
        <rFont val="Arial"/>
        <family val="2"/>
      </rPr>
      <t>2)</t>
    </r>
    <r>
      <rPr>
        <b/>
        <sz val="10"/>
        <color theme="1"/>
        <rFont val="Arial"/>
        <family val="2"/>
      </rPr>
      <t xml:space="preserve"> Pilot Program Development-</t>
    </r>
    <r>
      <rPr>
        <sz val="10"/>
        <color theme="1"/>
        <rFont val="Arial"/>
        <family val="2"/>
      </rPr>
      <t xml:space="preserve"> Test promising technologies in controlled environments, implement structured evaluation and scaling processes, partner with technology providers to share implementation risk.
3) </t>
    </r>
    <r>
      <rPr>
        <b/>
        <sz val="10"/>
        <color theme="1"/>
        <rFont val="Arial"/>
        <family val="2"/>
      </rPr>
      <t>Alternate Energy Sourcing</t>
    </r>
    <r>
      <rPr>
        <sz val="10"/>
        <color theme="1"/>
        <rFont val="Arial"/>
        <family val="2"/>
      </rPr>
      <t>- Identify regional alternative energy infrastructure development plans, select facilities best positioned for early alternative energy adoption, develop supplier partnerships to ensure future fuel access, create transition timelines aligned with projected fuel availability.
4)</t>
    </r>
    <r>
      <rPr>
        <b/>
        <sz val="10"/>
        <color theme="1"/>
        <rFont val="Arial"/>
        <family val="2"/>
      </rPr>
      <t xml:space="preserve"> Energy Demand Management</t>
    </r>
    <r>
      <rPr>
        <sz val="10"/>
        <color theme="1"/>
        <rFont val="Arial"/>
        <family val="2"/>
      </rPr>
      <t>- Forecast future energy needs incorporating all planned initiatives, engage early with utilities on capacity requirements, evaluate on-site generation and storage options, develop load flexibility strategies to optimize renewable integration. 
5)</t>
    </r>
    <r>
      <rPr>
        <b/>
        <sz val="10"/>
        <color theme="1"/>
        <rFont val="Arial"/>
        <family val="2"/>
      </rPr>
      <t xml:space="preserve"> Regulatory Approach</t>
    </r>
    <r>
      <rPr>
        <sz val="10"/>
        <color theme="1"/>
        <rFont val="Arial"/>
        <family val="2"/>
      </rPr>
      <t>-  Create technology-specific regulatory roadmaps. Engage proactively with authorities on novel applications, establish relationships with regulators before beginning permit processes.</t>
    </r>
  </si>
  <si>
    <t>Companies should develop cost, technology, and financial scenarios for planning because these frameworks enable strategic flexibility in an uncertain transition landscape while optimizing resource allocation across time horizons. Well-constructed scenarios build investor and stakeholder confidence by demonstrating credible pathways to ambitious targets, complete with realistic financial implications.  By anticipating multiple possible futures, businesses can identify critical decision points, strategic opportunities, and potential vulnerabilities, positioning themselves in a economy.</t>
  </si>
  <si>
    <t>• Companies should have a list of emission reduction measure that cover both facility and corporate portfolio while completing scenario analysis to validate their contribution toward targets. Scenario analysis is essential for testing the resilience of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targets and uncovers.</t>
  </si>
  <si>
    <t>• Your company's strategic selection of  pathways based on comprehensive scenario analysis demonstrates maturity in climate action planning and a commitment to data-driven decision-making. This methodical approach not only enhances your organization's resilience to transition risks but also optimizes resource allocation toward the most impactful opportunities across your operations.</t>
  </si>
  <si>
    <t>Companies should have a list of emission reduction measure that cover both facility and corporate portfolio while completing scenario analysis to validate their contribution toward targets. Scenario analysis is essential for testing the resilience of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targets and uncovers.</t>
  </si>
  <si>
    <t>Companies should update their project evaluation standards and procedures to build internal capabilities through training, resources, certification, and subject matter experts because these elements create the necessary human capital foundation for successful initiatives that otherwise would fail from lack of expertise.
Key Actions: 
1) Training Employees on sustainability topics- Develop tiered sustainability curriculum tailored to different organizational levels and functions, implement regular board and C-suite briefings on climate science, policy trends, and market developments, develop case study library showcasing successful sustainability initiatives and lessons learned.
2) Provide Resources and Tools- Develop centralized knowledge repository with methodologies, tools, and best practices, Develop standardized cost-benefit analysis templates for sustainability initiatives.
3) Develop Workforce-  Create inventory of relevant sustainability certifications, develop internal recognition program for employees obtaining sustainability credentials.
4) Designate Subject Matter Experts to Drive Strategic Initiatives- Identify and formally designate subject matter experts across key sustainability domains Implement allocation of protected time for experts to support strategic initiatives, develop cross-functional sustainability expert network with regular collaboration sessions.</t>
  </si>
  <si>
    <t>•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factors that increasingly impact financial performance and regulatory compliance, requiring the development of internal capabilities through training, certification, and subject matter expertise to establish the human capital foundation necessary for successful emission reduction.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efforts builds stakeholder trust and creates competitive advantage in today's environmentally conscious marketplace.</t>
  </si>
  <si>
    <r>
      <t xml:space="preserve">Companies should update their financial mechanisms for emission reduction because traditional capital allocation models systematically undervalue long-term climate benefits and overweigh short-term costs, effectively blocking critical emissions reduction initiatives.
Key Actions: 
1) Update ROI Calculations and Modify Payback Period Requirements- Develop comprehensive valuation methodology for sustainability benefits beyond direct energy savings, establish methodology for quantifying sustainability co-benefits, develop sliding scale approval matrix based on strategic impact of initiatives, establish governance structure for approving projects with extended payback periods
2) Deploy Effective Financing Mechanisms- Conduct assessment of available green financing options suitable for company profile and project pipeline, develop internal expertise on green bond frameworks and certification requirements, establish internal carbon pricing mechanism with clear application guidelines for project evaluation, Implement energy-as-a-service or efficiency-as-a-service models for appropriate project types
3) Lower Barrier to Apply for Corporate Financing- Develop streamlined application process specifically for emission reduction initiatives, create standardized templates for common project types, establish fast-track approval process for projects below defined threshold, implement pre-approved project categories requiring minimal justification, develop dedicated budget allocation for emission reduction initiatives exempt from standard competition
</t>
    </r>
    <r>
      <rPr>
        <sz val="11"/>
        <color rgb="FFFF0000"/>
        <rFont val="Aptos Narrow"/>
        <family val="2"/>
        <scheme val="minor"/>
      </rPr>
      <t>4)Apply internal cost of carbon- Set standardized internal carbon prices that reflect anticipated regulatory costs, carbon credit prices, and reputational risks, modify net present value calculations to include carbon cost impacts as operational expenses throughout project lifecycles, adjust required rates of return and payback periods based on projects' emission intensity, regularly review and update internal carbon pricing based on market developments and regulatory changes.
5) Develop a comprehensive evaluation framework that includes quantitative metrics such as carbon reduction potential, cost-effectiveness ratios, and payback period analysis. Conduct technical feasibility assessments covering implementation complexity, scalability evaluation, and technology maturity. Define strategic alignment criteria including regulatory compliance impact, supply chain implications, and brand positioning value. Establish operational impact evaluations encompassing production efficiency effects, resource requirements, and risk assessment. Finally, formulate portfolio management approaches that address project interdependencies and establish performance monitoring systems.</t>
    </r>
  </si>
  <si>
    <t>Effective communication of emission reduction efforts is crucial because it builds stakeholder trust through transparency while simultaneously creating competitive advantage in a marketplace increasingly concerned with environmental impact.
Key Action: 
1) Develop External Communication- Create a dedicated sustainability section on the company website featuring case studies of successful emisison reduction initiatives, develop a quarterly sustainability newsletter for investors, customers, and partners. 
2) Develop Internal Communication- Establish an employee sustainability portal on the intranet with access to training materials on emision reduction practices, submit their own ideas for emissions reduction, highlight teams making significant contributions to sustainability goals.
3) Publicize Major Efforts - Engage in sustainability-focused speaking engagements at relevant industry conferences and climate action forums, develop a media kit highlighting your most innovative initiatives.
4) Leverage Sustainability Achievements for Industry Recognition- Develop a systematic approach to sustainability awards submissions, partner with industry associations to showcase your leadership.</t>
  </si>
  <si>
    <t>Companies should consider innovative financing mechanisms for emission reduction measures because they effectively overcome capital constraints that often delay critical projects. Internal funding options like revolving funds create self-sustaining cycles where successful initiatives generate capital for future projects, while debt, loans, and leases provide access to capital without large upfront investments. Energy Savings Performance Contracting and Efficiency-as-a-Service transfer technical risk to specialized providers who guarantee results, allowing companies to implement complex solutions without requiring in-house expertise. Green Bonds and Power Purchase Agreements tap into specialized capital markets dedicated to environmental initiatives, often at advantageous rates compared to conventional financing. Federal, state, and local funding opportunities provide tax incentives, rebates, and grants that can significantly improve project economics.</t>
  </si>
  <si>
    <t>Companies should consider setting an Internal Cost of Carbon as it creates a concrete financial mechanism to prioritize emission reduction measures while aligning decision-making across departments with strategic climate goals. Calculating the Marginal Cost of Abatement helps companies identify which emission reduction opportunities deliver the most impact per dollar invested, enabling more strategic allocation of limited resources to maximize results. Including metrics like water and waste reduction in sustainability assessments captures additional environmental benefits that would otherwise be overlooked, often revealing synergistic opportunities where single initiatives can address multiple sustainability challenges simultaneously. Quantifying non-energy benefits such as improved productivity, reduced maintenance costs, enhanced brand value, and regulatory compliance provides a more complete financial picture that can transform seemingly marginal projects into compelling investments with substantial returns. Broadening capital financing requests to include emission reduction measures with payback periods greater than 2-3 years acknowledges the long-term nature of climate investments and prevents systematic exclusion of transformative opportunities that deliver significant value beyond traditional short-term financial metrics.</t>
  </si>
  <si>
    <t>Companies should consider annual budget cycles when planning emission reduction deployments to align initiatives with established financial planning processes, ensuring adequate funding is secured at optimal times. Financing availability and cost fluctuations significantly impact project feasibility, making it strategic to time implementations when favorable terms can maximize return on investment. Synchronizing emission reduction measures with equipment end-of-life creates natural replacement opportunities that minimize disruption and capture efficiency gains at lower incremental costs. Integrating emission reduction with deferred maintenance schedules prevents duplicated work and downtime while addressing both operational needs and sustainability goals simultaneously. The magnitude of emissions reductions should influence prioritization to capture the most significant climate impact early in the deployment timeline, demonstrating meaningful progress toward targets. Technology availability and cost curves should inform timing decisions, as delaying certain implementations may allow access to more advanced solutions at lower prices as markets mature. Projected grid emissions factors should guide electrification timing, as the carbon benefits of electric alternatives increase as grids incorporate more renewable energy sources, potentially justifying strategic delays in certain transitions.</t>
  </si>
  <si>
    <t>Stakeholder buy-in is important for success of an ERP.
Key Actions: 
1) Executive leadership by-in- Create a dedicated sustainability steering committee with C-suite representation to demonstrate top-level commitment.
2) Employee buy-in- implement department-specific training on how emission reduction relates to individual roles and responsibilities, establish a green champions network across departments to drive peer-to-peer engagement, celebrate and reward teams that contribute innovative emission reduction solutions.
3) Investors and customer buy-in- Develop a climate risk assessment demonstrating how emission reduction mitigates financial vulnerabilities, benchmark your sustainability performance against competitors to highlight competitive advantages, regularly report progress using established frameworks like TCFD or GRI that investors recognize and value, create case studies showing how your efforts directly benefit customer priorities.</t>
  </si>
  <si>
    <t>Companies should secure stakeholder buy-in for the initiatives because it transforms potential resistance into active support, significantly increasing the likelihood of successful implementation across the organization. Engaged stakeholders contribute valuable operational insights and innovative solutions that technical experts might overlook, while leadership commitment ensures consistent prioritization of sustainability amid competing business demands.</t>
  </si>
  <si>
    <t>Companies should communicate their ERP to build accountability for meeting climate commitments while demonstrating leadership to investors increasingly focused on sustainability performance. Regular internal updates ensure employees understand their role in emission reduction efforts, fostering a culture where sustainability becomes integrated into daily operations rather than viewed as a separate initiative. External stakeholder communication transforms sustainability achievements into tangible market advantages by helping customers meet their own emissions targets, differentiation products in competitive markets, and strengthening community relationships.</t>
  </si>
  <si>
    <t xml:space="preserve">•Conduct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t>
  </si>
  <si>
    <t>•By conducting comprehensive facility-level assessments to identify projects, you've established a solid foundation for targeted action based on site-specific opportunities. Your careful evaluation of infrastructure needs for implementation shows practical planning that anticipates execution challenges. Particularly impressive is your consideration of diverse pathways, creating a balanced and flexible approach that can adapt to changing conditions, technologies, and opportunities.</t>
  </si>
  <si>
    <t>•By establishing multiple scenarios that could affect your emission reduction efforts, you've created a framework that acknowledges future uncertainties while maintaining clear direction.</t>
  </si>
  <si>
    <t>•Once these scenarios and portfolio changes are outlined, evaluating their effects on your emission reduction trajectory would allow for more adaptive planning rather than a single rigid pathway. This scenario-based methodology would help future-proof your climate strategy, ensuring it remains relevant and effective despite changing business conditions.</t>
  </si>
  <si>
    <t>• Your company's ambitious emission reduction targets demonstrate  leadership  within your industry peers. Your goal demonstrates strategic foresight in positioning your business for success in a sustainable future.</t>
  </si>
  <si>
    <t>Manufacturing facilities can achieve significant benefits through strategic electrification, particularly in space heating, water heating, and thermal fluid heating systems due to their moderate temperature requirements and established electric technologies. Process heating applications below 400°C with predictable loads present strong electrification opportunities, especially in regions with low emission in grid or potential for renewable energy procurement.</t>
  </si>
  <si>
    <t>Manufacturing facilities can achieve substantial emissions reductions by transitioning to alternate fuels across industrial processes. Equipment like boilers, furnaces, and CHP systems can effectively operate on fuel blends containing 5-20% all the way up to 100% renewable content.  A phased implementation starting with lower blend ratios allows facilities to verify equipment compatibility, monitor performance while maximizing environmental and cost benefits.</t>
  </si>
  <si>
    <r>
      <t xml:space="preserve">Organizations should considering identifying alternate fuel vendors
</t>
    </r>
    <r>
      <rPr>
        <b/>
        <sz val="11"/>
        <color theme="1"/>
        <rFont val="Aptos Narrow"/>
        <family val="2"/>
        <scheme val="minor"/>
      </rPr>
      <t>Key Actions:</t>
    </r>
    <r>
      <rPr>
        <sz val="11"/>
        <color theme="1"/>
        <rFont val="Aptos Narrow"/>
        <family val="2"/>
        <scheme val="minor"/>
      </rPr>
      <t xml:space="preserve">
1)Conduct market research to identify established alternate fuel suppliers in your region, consult with energy transition consultants who specialize in fuel switching projects
2) Develop detailed qualification criteria for potential vendors, request and review third-party certification of alternate fuel production methods, assess vendors' historical supply reliability and contract fulfillment records, evaluate suppliers' own emission reduction commitments and sustainability practices, review vendors' contingency plans for supply chain disruptions
3) Issue formal RFPs (Requests for Proposals) with specific sustainability criteria, conduct site visits to potential suppliers' production facilities, negotiate long-term procurement agreements with emission intensity guarantees
4) Develop relationships with multiple suppliers to mitigate single-source risks, consider co-investment opportunities with promising fuel producers, create contingency plans for supply interruptions</t>
    </r>
  </si>
  <si>
    <r>
      <t xml:space="preserve">Organization can focus on SGEs to effectively reduce their emissions.
</t>
    </r>
    <r>
      <rPr>
        <b/>
        <sz val="10"/>
        <color theme="1"/>
        <rFont val="Arial"/>
        <family val="2"/>
      </rPr>
      <t>Key Actions:</t>
    </r>
    <r>
      <rPr>
        <sz val="10"/>
        <color theme="1"/>
        <rFont val="Arial"/>
        <family val="2"/>
      </rPr>
      <t xml:space="preserve">
1) Develop a list of process/system and map emission source and identify high emission systems.
2)Survey available alternate technologies, evaluate technological maturity , assess implementation requirements and facility compatibility.</t>
    </r>
  </si>
  <si>
    <t>Engaging multiple strategies helps companies thoroughly evaluate cutting edge technologies before implementation. Third-party technology assessments provide independent verification of performance claims. Strategic pilot programs generate valuable facility-specific data, reveal practical implementation challenges, and help build internal expertise while creating detailed cost information for larger rollouts. Industry collaboration accelerates learning through shared experiences, enables cost-sharing on technology demonstrations, and provides access to proven solutions and reliable vendors.</t>
  </si>
  <si>
    <r>
      <t xml:space="preserve">Planning for business changes during ERP development can help make the plan more robust. Acquisitions and divestments dramatically alter a company's emissions profile. Emission strategies must anticipate how these changes affect overall targets and build flexibility to maintain  momentum despite portfolio shifts. Growth-oriented companies must account for how capacity expansions will increase their emission footprint, potentially requiring more aggressive reduction measures elsewhere. Shifts in product mix, whether strategic or market-driven, substantially affect a company's emissions profile. Companies expanding in different market, need emission scenarios that account for regional differences in renewable energy availability, carbon pricing, and sustainability expectations. Renovations and new construction represent critical intervention points for emission reductions. Incorporating alternate fuel technologies during planned facility changes is more cost-effective than retrofitting. 
</t>
    </r>
    <r>
      <rPr>
        <b/>
        <sz val="11"/>
        <color theme="1"/>
        <rFont val="Aptos Narrow"/>
        <family val="2"/>
        <scheme val="minor"/>
      </rPr>
      <t xml:space="preserve">Key Actions: </t>
    </r>
    <r>
      <rPr>
        <sz val="11"/>
        <color theme="1"/>
        <rFont val="Aptos Narrow"/>
        <family val="2"/>
        <scheme val="minor"/>
      </rPr>
      <t xml:space="preserve">
1) Portfolio Management Action- Develop a process for evaluating emissions impact of potential acquisitions and divestments, create an emissions integration plan for newly acquired businesses
2) Market Expansion Strategy Actions- Create an opportunity map that identifies favorable regions for reduced emission operations, develop market-specific emission reduction playbooks that account for local energy infrastructure, build relationships with regional renewable energy providers in advance of market entry
3) Facility Planning- Develop roadmap aligned with renovation and replacement cycles, create design standards for new facilities that incorporate best-available alternate fuel technologies, establish a emission lock-in assessment for all major infrastructure decisions
4) Production Capacity Planning- Implement a impact assessment for all capacity expansion projects, develop intensity-based metrics that complement absolute emissions targets to account for growth, establish regular reconciliation between production planning and emissions reduction roadmaps</t>
    </r>
  </si>
  <si>
    <t xml:space="preserve">Company should ensure their reduction planning accounts for the full complexity of energy efficiency impacts, process change effects, and regional grid variations.
Key Actions: 
1) Energy Efficiency Impact Assessment- Develop models to quantify both direct and indirect emission reductions from efficiency projects.
2)Process Change Analysis-  Develop KPIs that capture system-wide emission and sustainability impacts rather than isolated process metrics, establish cross-functional review teams to identify unintended emission consequences.
3)Location-Specific Electrification Strategy- Prioritize electrification projects based on current and forecasted grid carbon intensity, establish partnerships with local utilities to access grid transition planning information, create location-specific electrification roadmaps with optimal timing based on grid greening trajectories.
4)Impact of increased electricity demand from electrification- Analyze how electrification projects change facility electricity demand patterns and timing relative to other emission reduction measures, calculate total emissions impact considering both direct emission reductions from electrification and indirect emissions from increased grid electricity consumption, identify opportunities where energy efficiency projects reduce the electricity demand increases from electrification measures, analyze how electrification timing coincides with other equipment loads and impacts overall facility peak demand charges, use time-based grid emission factors to accurately assess when increased electricity demand has the lowest carbon impact. 
5)Impact of decrease in traditional fuel consumtoion due to transition to alternatives-  Document current natural gas, diesel, coal, and other fossil fuel usage by process, equipment, and facility to establish reduction potential baselines, evaluate alternate fuel substitutes  and their interaction with existing fuel systems and infrastructure,  evaluate how fuel switching affects overall process efficiency and creates synergies with other emission reduction measures like heat recovery systems, calculate avoided costs from reduced traditional fuel purchases, including price volatility hedging and long-term contract obligations, calculate combined emission benefits when fuel switching projects complement energy efficiency and renewable energy measures. 
</t>
  </si>
  <si>
    <t>Companies should update their project evaluation standards and procedures with a focus on procurement, equipment replacement, and supply chain collaboration because these operational areas represent critical leverage points for achieving significant emissions reductions while often delivering cost savings through improved efficiency and reduced resource use.
Key Actions:
1) Engage Procurement Team- Establish formal renewable fuel procurement targets with timeline and accountability measures, implement purchasing guidelines prioritizing renewable and alternate fuel options, establish pilot projects to test renewable fuel alternatives in different operation. 
2)Educate and Develop Plan for Equipment Replacement- Create comprehensive inventory of energy-consuming equipment with efficiency ratings and end-of-life dates, develop database of best available technologies (BAT) for each equipment category, create proactive replacement schedule for equipment approaching end of life, develop technical specifications templates that prioritize energy efficiency and low emissions.
3) Engage with Supply Chain- Conduct comprehensive Scope 3 emissions inventory to identify hotspots in supply chain, develop supplier engagement strategy with tiered approach based on emissions impact and relationship, establish collaboration platform for sharing best practices among key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</si>
</sst>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0"/>
  </numFmts>
  <fonts count="139">
    <font>
      <sz val="11"/>
      <color theme="1"/>
      <name val="Aptos Narrow"/>
      <family val="2"/>
      <scheme val="minor"/>
    </font>
    <font>
      <b/>
      <sz val="11"/>
      <color theme="1"/>
      <name val="Aptos Narrow"/>
      <family val="2"/>
      <scheme val="minor"/>
    </font>
    <font>
      <sz val="12"/>
      <name val="Sans-serif"/>
    </font>
    <font>
      <sz val="12"/>
      <color theme="1"/>
      <name val="Sans-serif"/>
    </font>
    <font>
      <b/>
      <sz val="18"/>
      <name val="Sans-serif"/>
    </font>
    <font>
      <sz val="8"/>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name val="Arial"/>
      <family val="2"/>
    </font>
    <font>
      <sz val="9"/>
      <color theme="1"/>
      <name val="Aptos Narrow"/>
      <family val="2"/>
      <scheme val="minor"/>
    </font>
    <font>
      <sz val="11"/>
      <color indexed="8"/>
      <name val="Calibri"/>
      <family val="2"/>
    </font>
    <font>
      <sz val="10"/>
      <color theme="1"/>
      <name val="Arial"/>
      <family val="2"/>
    </font>
    <font>
      <b/>
      <sz val="18"/>
      <color theme="3"/>
      <name val="Aptos Display"/>
      <family val="2"/>
      <scheme val="major"/>
    </font>
    <font>
      <sz val="11"/>
      <color rgb="FF9C6500"/>
      <name val="Aptos Narrow"/>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5"/>
      <color indexed="49"/>
      <name val="Aptos Narrow"/>
      <family val="2"/>
      <scheme val="minor"/>
    </font>
    <font>
      <u/>
      <sz val="11"/>
      <color theme="10"/>
      <name val="Calibri"/>
      <family val="2"/>
    </font>
    <font>
      <sz val="11"/>
      <color theme="1"/>
      <name val="Arial"/>
      <family val="2"/>
    </font>
    <font>
      <sz val="11"/>
      <name val="Arial"/>
      <family val="2"/>
    </font>
    <font>
      <b/>
      <sz val="11"/>
      <name val="Arial"/>
      <family val="2"/>
    </font>
    <font>
      <sz val="28"/>
      <color theme="0"/>
      <name val="Arial"/>
      <family val="2"/>
    </font>
    <font>
      <sz val="11"/>
      <color theme="0"/>
      <name val="Arial"/>
      <family val="2"/>
    </font>
    <font>
      <sz val="36"/>
      <color theme="0"/>
      <name val="Arial"/>
      <family val="2"/>
    </font>
    <font>
      <b/>
      <sz val="11"/>
      <color theme="0"/>
      <name val="Arial"/>
      <family val="2"/>
    </font>
    <font>
      <b/>
      <sz val="12"/>
      <color theme="1"/>
      <name val="Arial"/>
      <family val="2"/>
    </font>
    <font>
      <sz val="12"/>
      <color theme="1"/>
      <name val="Arial"/>
      <family val="2"/>
    </font>
    <font>
      <b/>
      <sz val="10"/>
      <name val="Arial"/>
      <family val="2"/>
    </font>
    <font>
      <b/>
      <sz val="16"/>
      <name val="Arial"/>
      <family val="2"/>
    </font>
    <font>
      <sz val="12"/>
      <color theme="7"/>
      <name val="Arial"/>
      <family val="2"/>
    </font>
    <font>
      <sz val="12"/>
      <name val="Arial"/>
      <family val="2"/>
    </font>
    <font>
      <sz val="12"/>
      <color rgb="FF92D050"/>
      <name val="Arial"/>
      <family val="2"/>
    </font>
    <font>
      <sz val="12"/>
      <color theme="1" tint="0.499984740745262"/>
      <name val="Arial"/>
      <family val="2"/>
    </font>
    <font>
      <sz val="12"/>
      <color theme="5"/>
      <name val="Arial"/>
      <family val="2"/>
    </font>
    <font>
      <b/>
      <sz val="18"/>
      <name val="Arial"/>
      <family val="2"/>
    </font>
    <font>
      <b/>
      <sz val="14"/>
      <name val="Arial"/>
      <family val="2"/>
    </font>
    <font>
      <b/>
      <sz val="12"/>
      <name val="Arial"/>
      <family val="2"/>
    </font>
    <font>
      <i/>
      <sz val="12"/>
      <name val="Arial"/>
      <family val="2"/>
    </font>
    <font>
      <i/>
      <sz val="12"/>
      <color theme="1"/>
      <name val="Arial"/>
      <family val="2"/>
    </font>
    <font>
      <sz val="14"/>
      <name val="Arial"/>
      <family val="2"/>
    </font>
    <font>
      <i/>
      <sz val="14"/>
      <name val="Arial"/>
      <family val="2"/>
    </font>
    <font>
      <sz val="14"/>
      <color theme="7"/>
      <name val="Arial"/>
      <family val="2"/>
    </font>
    <font>
      <i/>
      <sz val="14"/>
      <color rgb="FF92D050"/>
      <name val="Arial"/>
      <family val="2"/>
    </font>
    <font>
      <i/>
      <sz val="14"/>
      <color theme="5"/>
      <name val="Arial"/>
      <family val="2"/>
    </font>
    <font>
      <sz val="14"/>
      <color theme="1"/>
      <name val="Arial"/>
      <family val="2"/>
    </font>
    <font>
      <sz val="14"/>
      <color theme="5" tint="0.39997558519241921"/>
      <name val="Arial"/>
      <family val="2"/>
    </font>
    <font>
      <sz val="18"/>
      <color theme="1"/>
      <name val="Arial"/>
      <family val="2"/>
    </font>
    <font>
      <sz val="14"/>
      <color rgb="FF92D050"/>
      <name val="Arial"/>
      <family val="2"/>
    </font>
    <font>
      <i/>
      <sz val="14"/>
      <color theme="1" tint="0.499984740745262"/>
      <name val="Arial"/>
      <family val="2"/>
    </font>
    <font>
      <i/>
      <sz val="11"/>
      <name val="Arial"/>
      <family val="2"/>
    </font>
    <font>
      <b/>
      <i/>
      <u/>
      <sz val="12"/>
      <color theme="1"/>
      <name val="Arial"/>
      <family val="2"/>
    </font>
    <font>
      <sz val="12"/>
      <color theme="0" tint="-0.34998626667073579"/>
      <name val="Arial"/>
      <family val="2"/>
    </font>
    <font>
      <sz val="12"/>
      <color theme="1"/>
      <name val="Aptos Narrow"/>
      <family val="2"/>
      <scheme val="minor"/>
    </font>
    <font>
      <sz val="48"/>
      <color theme="0"/>
      <name val="Arial"/>
      <family val="2"/>
    </font>
    <font>
      <b/>
      <sz val="14"/>
      <color theme="1"/>
      <name val="Arial"/>
      <family val="2"/>
    </font>
    <font>
      <u/>
      <sz val="12"/>
      <color theme="1"/>
      <name val="Arial"/>
      <family val="2"/>
    </font>
    <font>
      <i/>
      <sz val="14"/>
      <color rgb="FF00B0F0"/>
      <name val="Arial"/>
      <family val="2"/>
    </font>
    <font>
      <sz val="12"/>
      <color theme="0"/>
      <name val="Arial"/>
      <family val="2"/>
    </font>
    <font>
      <b/>
      <sz val="12"/>
      <color theme="0"/>
      <name val="Arial"/>
      <family val="2"/>
    </font>
    <font>
      <i/>
      <sz val="14"/>
      <color theme="0" tint="-0.499984740745262"/>
      <name val="Arial"/>
      <family val="2"/>
    </font>
    <font>
      <b/>
      <sz val="9"/>
      <color indexed="81"/>
      <name val="Tahoma"/>
      <family val="2"/>
    </font>
    <font>
      <sz val="9"/>
      <color indexed="81"/>
      <name val="Tahoma"/>
      <family val="2"/>
    </font>
    <font>
      <sz val="12"/>
      <color theme="0" tint="-0.499984740745262"/>
      <name val="Arial"/>
      <family val="2"/>
    </font>
    <font>
      <b/>
      <i/>
      <sz val="14"/>
      <color rgb="FF92D050"/>
      <name val="Arial"/>
      <family val="2"/>
    </font>
    <font>
      <b/>
      <i/>
      <sz val="12"/>
      <color theme="1"/>
      <name val="Arial"/>
      <family val="2"/>
    </font>
    <font>
      <b/>
      <i/>
      <sz val="12"/>
      <name val="Arial"/>
      <family val="2"/>
    </font>
    <font>
      <u/>
      <sz val="11"/>
      <color theme="10"/>
      <name val="Aptos Narrow"/>
      <family val="2"/>
      <scheme val="minor"/>
    </font>
    <font>
      <sz val="12"/>
      <color rgb="FFFF0000"/>
      <name val="Arial"/>
      <family val="2"/>
    </font>
    <font>
      <sz val="12"/>
      <color rgb="FFC00000"/>
      <name val="Arial"/>
      <family val="2"/>
    </font>
    <font>
      <b/>
      <sz val="28"/>
      <color theme="1"/>
      <name val="Arial"/>
      <family val="2"/>
    </font>
    <font>
      <sz val="16"/>
      <color theme="1"/>
      <name val="Arial"/>
      <family val="2"/>
    </font>
    <font>
      <b/>
      <sz val="16"/>
      <color theme="1"/>
      <name val="Arial"/>
      <family val="2"/>
    </font>
    <font>
      <b/>
      <sz val="10"/>
      <color theme="1"/>
      <name val="Arial"/>
      <family val="2"/>
    </font>
    <font>
      <u/>
      <sz val="10"/>
      <color theme="10"/>
      <name val="Arial"/>
      <family val="2"/>
    </font>
    <font>
      <sz val="10"/>
      <color theme="1"/>
      <name val="Aptos Narrow"/>
      <family val="2"/>
    </font>
    <font>
      <i/>
      <sz val="11"/>
      <color theme="1"/>
      <name val="Arial"/>
      <family val="2"/>
    </font>
    <font>
      <sz val="12"/>
      <color theme="0"/>
      <name val="Aptos Narrow"/>
      <family val="2"/>
    </font>
    <font>
      <i/>
      <sz val="12"/>
      <color theme="4"/>
      <name val="Arial"/>
      <family val="2"/>
    </font>
    <font>
      <i/>
      <u/>
      <sz val="12"/>
      <color theme="7"/>
      <name val="Arial"/>
      <family val="2"/>
    </font>
    <font>
      <u/>
      <sz val="12"/>
      <color theme="10"/>
      <name val="Arial"/>
      <family val="2"/>
    </font>
    <font>
      <b/>
      <sz val="22"/>
      <color theme="1"/>
      <name val="Arial"/>
      <family val="2"/>
    </font>
    <font>
      <b/>
      <u/>
      <sz val="14"/>
      <color theme="1"/>
      <name val="Arial"/>
      <family val="2"/>
    </font>
    <font>
      <b/>
      <u/>
      <sz val="20"/>
      <color theme="1"/>
      <name val="Arial"/>
      <family val="2"/>
    </font>
    <font>
      <u/>
      <sz val="14"/>
      <color theme="7"/>
      <name val="Arial"/>
      <family val="2"/>
    </font>
    <font>
      <u/>
      <sz val="12"/>
      <color theme="10"/>
      <name val="Arial"/>
      <family val="2"/>
    </font>
    <font>
      <sz val="12"/>
      <color theme="1"/>
      <name val="Arial"/>
      <family val="2"/>
    </font>
    <font>
      <u/>
      <sz val="14"/>
      <color theme="7"/>
      <name val="Arial"/>
      <family val="2"/>
    </font>
    <font>
      <i/>
      <sz val="14"/>
      <color theme="3" tint="0.249977111117893"/>
      <name val="Arial"/>
      <family val="2"/>
    </font>
    <font>
      <sz val="14"/>
      <color indexed="81"/>
      <name val="Tahoma"/>
      <family val="2"/>
    </font>
    <font>
      <sz val="12"/>
      <color theme="4"/>
      <name val="Arial"/>
      <family val="2"/>
    </font>
    <font>
      <sz val="16"/>
      <color indexed="81"/>
      <name val="Arial"/>
      <family val="2"/>
    </font>
    <font>
      <b/>
      <sz val="72"/>
      <color theme="0"/>
      <name val="Arial"/>
      <family val="2"/>
    </font>
    <font>
      <sz val="12"/>
      <color rgb="FF00B0F0"/>
      <name val="Arial"/>
      <family val="2"/>
    </font>
    <font>
      <b/>
      <sz val="11"/>
      <color indexed="81"/>
      <name val="Arial"/>
      <family val="2"/>
    </font>
    <font>
      <b/>
      <sz val="12"/>
      <color indexed="81"/>
      <name val="Arial"/>
      <family val="2"/>
    </font>
    <font>
      <sz val="12"/>
      <color rgb="FF002060"/>
      <name val="Arial"/>
      <family val="2"/>
    </font>
    <font>
      <i/>
      <sz val="12"/>
      <color theme="0"/>
      <name val="Arial"/>
      <family val="2"/>
    </font>
    <font>
      <b/>
      <sz val="16"/>
      <name val="Aptos Narrow"/>
      <family val="2"/>
    </font>
    <font>
      <i/>
      <sz val="14"/>
      <color rgb="FFFF0000"/>
      <name val="Arial"/>
      <family val="2"/>
    </font>
    <font>
      <b/>
      <sz val="20"/>
      <name val="Sans-serif"/>
    </font>
    <font>
      <sz val="20"/>
      <name val="Sans-serif"/>
    </font>
    <font>
      <b/>
      <sz val="20"/>
      <name val="Arial"/>
      <family val="2"/>
    </font>
    <font>
      <sz val="20"/>
      <name val="Arial"/>
      <family val="2"/>
    </font>
    <font>
      <sz val="20"/>
      <color theme="0"/>
      <name val="Arial"/>
      <family val="2"/>
    </font>
    <font>
      <b/>
      <sz val="20"/>
      <color theme="0"/>
      <name val="Arial"/>
      <family val="2"/>
    </font>
    <font>
      <sz val="20"/>
      <color theme="1"/>
      <name val="Arial"/>
      <family val="2"/>
    </font>
    <font>
      <sz val="12"/>
      <color theme="5" tint="0.39997558519241921"/>
      <name val="Arial"/>
      <family val="2"/>
    </font>
    <font>
      <i/>
      <sz val="12"/>
      <color theme="5"/>
      <name val="Arial"/>
      <family val="2"/>
    </font>
    <font>
      <i/>
      <sz val="12"/>
      <color theme="0" tint="-0.499984740745262"/>
      <name val="Arial"/>
      <family val="2"/>
    </font>
    <font>
      <i/>
      <sz val="12"/>
      <color rgb="FFFF0000"/>
      <name val="Arial"/>
      <family val="2"/>
    </font>
    <font>
      <i/>
      <sz val="14"/>
      <color theme="4"/>
      <name val="Arial"/>
      <family val="2"/>
    </font>
    <font>
      <sz val="11"/>
      <name val="Aptos Narrow"/>
      <family val="2"/>
      <scheme val="minor"/>
    </font>
  </fonts>
  <fills count="7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BDC5D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theme="0" tint="-0.49998474074526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0"/>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ck">
        <color theme="0"/>
      </right>
      <top style="medium">
        <color indexed="64"/>
      </top>
      <bottom/>
      <diagonal/>
    </border>
  </borders>
  <cellStyleXfs count="593">
    <xf numFmtId="0" fontId="0" fillId="0" borderId="0"/>
    <xf numFmtId="0" fontId="21" fillId="0" borderId="33" applyNumberFormat="0" applyFont="0" applyProtection="0">
      <alignment wrapText="1"/>
    </xf>
    <xf numFmtId="0" fontId="22" fillId="59" borderId="40" applyNumberFormat="0" applyFont="0" applyAlignment="0" applyProtection="0"/>
    <xf numFmtId="0" fontId="23" fillId="0" borderId="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6" fillId="13"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6" fillId="1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6"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6" fillId="25"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 fillId="29"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6" fillId="3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6" fillId="1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6" fillId="18"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6" fillId="2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6" fillId="2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6" fillId="3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6" fillId="34"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6" fillId="48" borderId="0" applyNumberFormat="0" applyBorder="0" applyAlignment="0" applyProtection="0"/>
    <xf numFmtId="0" fontId="19" fillId="15"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19" fillId="19"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19" fillId="23" borderId="0" applyNumberFormat="0" applyBorder="0" applyAlignment="0" applyProtection="0"/>
    <xf numFmtId="0" fontId="26" fillId="46" borderId="0" applyNumberFormat="0" applyBorder="0" applyAlignment="0" applyProtection="0"/>
    <xf numFmtId="0" fontId="26" fillId="49" borderId="0" applyNumberFormat="0" applyBorder="0" applyAlignment="0" applyProtection="0"/>
    <xf numFmtId="0" fontId="19" fillId="27"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19" fillId="3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19" fillId="35"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19" fillId="1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9" fillId="16"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19" fillId="20" borderId="0" applyNumberFormat="0" applyBorder="0" applyAlignment="0" applyProtection="0"/>
    <xf numFmtId="0" fontId="26" fillId="54" borderId="0" applyNumberFormat="0" applyBorder="0" applyAlignment="0" applyProtection="0"/>
    <xf numFmtId="0" fontId="26" fillId="49" borderId="0" applyNumberFormat="0" applyBorder="0" applyAlignment="0" applyProtection="0"/>
    <xf numFmtId="0" fontId="19" fillId="24"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19" fillId="28" borderId="0" applyNumberFormat="0" applyBorder="0" applyAlignment="0" applyProtection="0"/>
    <xf numFmtId="0" fontId="26" fillId="50" borderId="0" applyNumberFormat="0" applyBorder="0" applyAlignment="0" applyProtection="0"/>
    <xf numFmtId="0" fontId="26" fillId="55" borderId="0" applyNumberFormat="0" applyBorder="0" applyAlignment="0" applyProtection="0"/>
    <xf numFmtId="0" fontId="19" fillId="32" borderId="0" applyNumberFormat="0" applyBorder="0" applyAlignment="0" applyProtection="0"/>
    <xf numFmtId="0" fontId="26" fillId="55" borderId="0" applyNumberFormat="0" applyBorder="0" applyAlignment="0" applyProtection="0"/>
    <xf numFmtId="0" fontId="27" fillId="39" borderId="0" applyNumberFormat="0" applyBorder="0" applyAlignment="0" applyProtection="0"/>
    <xf numFmtId="0" fontId="11" fillId="6" borderId="0" applyNumberFormat="0" applyBorder="0" applyAlignment="0" applyProtection="0"/>
    <xf numFmtId="0" fontId="27" fillId="39" borderId="0" applyNumberFormat="0" applyBorder="0" applyAlignment="0" applyProtection="0"/>
    <xf numFmtId="0" fontId="28" fillId="56" borderId="34" applyNumberFormat="0" applyAlignment="0" applyProtection="0"/>
    <xf numFmtId="0" fontId="14" fillId="9" borderId="27" applyNumberFormat="0" applyAlignment="0" applyProtection="0"/>
    <xf numFmtId="0" fontId="28" fillId="56" borderId="34" applyNumberFormat="0" applyAlignment="0" applyProtection="0"/>
    <xf numFmtId="0" fontId="29" fillId="57" borderId="35" applyNumberFormat="0" applyAlignment="0" applyProtection="0"/>
    <xf numFmtId="0" fontId="16" fillId="10" borderId="30" applyNumberFormat="0" applyAlignment="0" applyProtection="0"/>
    <xf numFmtId="0" fontId="29" fillId="57" borderId="35" applyNumberFormat="0" applyAlignment="0" applyProtection="0"/>
    <xf numFmtId="43" fontId="20" fillId="0" borderId="0" applyFon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10" fillId="5" borderId="0" applyNumberFormat="0" applyBorder="0" applyAlignment="0" applyProtection="0"/>
    <xf numFmtId="0" fontId="31" fillId="40" borderId="0" applyNumberFormat="0" applyBorder="0" applyAlignment="0" applyProtection="0"/>
    <xf numFmtId="0" fontId="32" fillId="0" borderId="36" applyNumberFormat="0" applyFill="0" applyAlignment="0" applyProtection="0"/>
    <xf numFmtId="0" fontId="7" fillId="0" borderId="24" applyNumberFormat="0" applyFill="0" applyAlignment="0" applyProtection="0"/>
    <xf numFmtId="0" fontId="32" fillId="0" borderId="36" applyNumberFormat="0" applyFill="0" applyAlignment="0" applyProtection="0"/>
    <xf numFmtId="0" fontId="33" fillId="0" borderId="37" applyNumberFormat="0" applyFill="0" applyAlignment="0" applyProtection="0"/>
    <xf numFmtId="0" fontId="8" fillId="0" borderId="25" applyNumberFormat="0" applyFill="0" applyAlignment="0" applyProtection="0"/>
    <xf numFmtId="0" fontId="33" fillId="0" borderId="37" applyNumberFormat="0" applyFill="0" applyAlignment="0" applyProtection="0"/>
    <xf numFmtId="0" fontId="34" fillId="0" borderId="38" applyNumberFormat="0" applyFill="0" applyAlignment="0" applyProtection="0"/>
    <xf numFmtId="0" fontId="9" fillId="0" borderId="26" applyNumberFormat="0" applyFill="0" applyAlignment="0" applyProtection="0"/>
    <xf numFmtId="0" fontId="34" fillId="0" borderId="38" applyNumberFormat="0" applyFill="0" applyAlignment="0" applyProtection="0"/>
    <xf numFmtId="0" fontId="34" fillId="0" borderId="0" applyNumberFormat="0" applyFill="0" applyBorder="0" applyAlignment="0" applyProtection="0"/>
    <xf numFmtId="0" fontId="9" fillId="0" borderId="0" applyNumberFormat="0" applyFill="0" applyBorder="0" applyAlignment="0" applyProtection="0"/>
    <xf numFmtId="0" fontId="34" fillId="0" borderId="0" applyNumberFormat="0" applyFill="0" applyBorder="0" applyAlignment="0" applyProtection="0"/>
    <xf numFmtId="0" fontId="35" fillId="43" borderId="34" applyNumberFormat="0" applyAlignment="0" applyProtection="0"/>
    <xf numFmtId="0" fontId="12" fillId="8" borderId="27" applyNumberFormat="0" applyAlignment="0" applyProtection="0"/>
    <xf numFmtId="0" fontId="35" fillId="43" borderId="34" applyNumberFormat="0" applyAlignment="0" applyProtection="0"/>
    <xf numFmtId="0" fontId="36" fillId="0" borderId="39" applyNumberFormat="0" applyFill="0" applyAlignment="0" applyProtection="0"/>
    <xf numFmtId="0" fontId="15" fillId="0" borderId="29" applyNumberFormat="0" applyFill="0" applyAlignment="0" applyProtection="0"/>
    <xf numFmtId="0" fontId="36" fillId="0" borderId="39" applyNumberFormat="0" applyFill="0" applyAlignment="0" applyProtection="0"/>
    <xf numFmtId="0" fontId="37" fillId="58" borderId="0" applyNumberFormat="0" applyBorder="0" applyAlignment="0" applyProtection="0"/>
    <xf numFmtId="0" fontId="25" fillId="7" borderId="0" applyNumberFormat="0" applyBorder="0" applyAlignment="0" applyProtection="0"/>
    <xf numFmtId="0" fontId="37" fillId="58" borderId="0" applyNumberFormat="0" applyBorder="0" applyAlignment="0" applyProtection="0"/>
    <xf numFmtId="0" fontId="20" fillId="0" borderId="0"/>
    <xf numFmtId="0" fontId="6" fillId="0" borderId="0"/>
    <xf numFmtId="0" fontId="20" fillId="0" borderId="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6" fillId="11" borderId="31"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38" fillId="56" borderId="41" applyNumberFormat="0" applyAlignment="0" applyProtection="0"/>
    <xf numFmtId="0" fontId="13" fillId="9" borderId="28" applyNumberFormat="0" applyAlignment="0" applyProtection="0"/>
    <xf numFmtId="0" fontId="38" fillId="56" borderId="41" applyNumberFormat="0" applyAlignment="0" applyProtection="0"/>
    <xf numFmtId="9" fontId="20" fillId="0" borderId="0" applyFont="0" applyFill="0" applyBorder="0" applyAlignment="0" applyProtection="0"/>
    <xf numFmtId="0" fontId="39" fillId="0" borderId="0" applyNumberFormat="0" applyFill="0" applyBorder="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40" fillId="0" borderId="42" applyNumberFormat="0" applyFill="0" applyAlignment="0" applyProtection="0"/>
    <xf numFmtId="0" fontId="1" fillId="0" borderId="32" applyNumberFormat="0" applyFill="0" applyAlignment="0" applyProtection="0"/>
    <xf numFmtId="0" fontId="40" fillId="0" borderId="42" applyNumberFormat="0" applyFill="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41" fillId="0" borderId="0" applyNumberFormat="0" applyFill="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9" fillId="12"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43" fontId="20" fillId="0" borderId="0" quotePrefix="1" applyFont="0" applyFill="0" applyBorder="0" applyAlignment="0">
      <protection locked="0"/>
    </xf>
    <xf numFmtId="43" fontId="20" fillId="0" borderId="0" quotePrefix="1" applyFont="0" applyFill="0" applyBorder="0" applyAlignment="0">
      <protection locked="0"/>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quotePrefix="1" applyFont="0" applyFill="0" applyBorder="0" applyAlignment="0">
      <protection locked="0"/>
    </xf>
    <xf numFmtId="43" fontId="20" fillId="0" borderId="0" quotePrefix="1" applyFont="0" applyFill="0" applyBorder="0" applyAlignment="0">
      <protection locked="0"/>
    </xf>
    <xf numFmtId="43" fontId="20" fillId="0" borderId="0" quotePrefix="1" applyFont="0" applyFill="0" applyBorder="0" applyAlignment="0">
      <protection locked="0"/>
    </xf>
    <xf numFmtId="43" fontId="20" fillId="0" borderId="0" quotePrefix="1" applyFont="0" applyFill="0" applyBorder="0" applyAlignment="0">
      <protection locked="0"/>
    </xf>
    <xf numFmtId="43" fontId="20" fillId="0" borderId="0" quotePrefix="1" applyFont="0" applyFill="0" applyBorder="0" applyAlignment="0">
      <protection locked="0"/>
    </xf>
    <xf numFmtId="43" fontId="20" fillId="0" borderId="0" quotePrefix="1" applyFont="0" applyFill="0" applyBorder="0" applyAlignment="0">
      <protection locked="0"/>
    </xf>
    <xf numFmtId="44" fontId="20" fillId="0" borderId="0" quotePrefix="1" applyFont="0" applyFill="0" applyBorder="0" applyAlignment="0">
      <protection locked="0"/>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0" fillId="0" borderId="0" quotePrefix="1" applyFont="0" applyFill="0" applyBorder="0" applyAlignment="0">
      <protection locked="0"/>
    </xf>
    <xf numFmtId="44" fontId="20" fillId="0" borderId="0" quotePrefix="1" applyFont="0" applyFill="0" applyBorder="0" applyAlignment="0">
      <protection locked="0"/>
    </xf>
    <xf numFmtId="44" fontId="20" fillId="0" borderId="0" quotePrefix="1" applyFont="0" applyFill="0" applyBorder="0" applyAlignment="0">
      <protection locked="0"/>
    </xf>
    <xf numFmtId="44" fontId="20" fillId="0" borderId="0" quotePrefix="1" applyFont="0" applyFill="0" applyBorder="0" applyAlignment="0">
      <protection locked="0"/>
    </xf>
    <xf numFmtId="44" fontId="20" fillId="0" borderId="0" quotePrefix="1" applyFont="0" applyFill="0" applyBorder="0" applyAlignment="0">
      <protection locked="0"/>
    </xf>
    <xf numFmtId="0" fontId="7" fillId="0" borderId="24"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9" fontId="20" fillId="0" borderId="0" quotePrefix="1" applyFont="0" applyFill="0" applyBorder="0" applyAlignment="0">
      <protection locked="0"/>
    </xf>
    <xf numFmtId="0" fontId="24" fillId="0" borderId="0" applyNumberFormat="0" applyFill="0" applyBorder="0" applyAlignment="0" applyProtection="0"/>
    <xf numFmtId="0" fontId="1" fillId="0" borderId="44" applyNumberFormat="0" applyFill="0" applyAlignment="0" applyProtection="0"/>
    <xf numFmtId="0" fontId="6" fillId="0" borderId="0"/>
    <xf numFmtId="0" fontId="22" fillId="59" borderId="40" applyNumberFormat="0" applyFont="0" applyAlignment="0" applyProtection="0"/>
    <xf numFmtId="0" fontId="28" fillId="56" borderId="34" applyNumberFormat="0" applyAlignment="0" applyProtection="0"/>
    <xf numFmtId="0" fontId="28" fillId="56" borderId="34" applyNumberFormat="0" applyAlignment="0" applyProtection="0"/>
    <xf numFmtId="0" fontId="35" fillId="43" borderId="34" applyNumberForma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35" fillId="43" borderId="34" applyNumberFormat="0" applyAlignment="0" applyProtection="0"/>
    <xf numFmtId="0" fontId="22" fillId="59" borderId="40" applyNumberFormat="0" applyFont="0" applyAlignment="0" applyProtection="0"/>
    <xf numFmtId="0" fontId="22" fillId="59" borderId="40" applyNumberFormat="0" applyFont="0" applyAlignment="0" applyProtection="0"/>
    <xf numFmtId="0" fontId="22" fillId="59" borderId="40" applyNumberFormat="0" applyFont="0" applyAlignment="0" applyProtection="0"/>
    <xf numFmtId="0" fontId="38" fillId="56" borderId="41" applyNumberFormat="0" applyAlignment="0" applyProtection="0"/>
    <xf numFmtId="0" fontId="38" fillId="56" borderId="41" applyNumberFormat="0" applyAlignment="0" applyProtection="0"/>
    <xf numFmtId="0" fontId="40" fillId="0" borderId="42" applyNumberFormat="0" applyFill="0" applyAlignment="0" applyProtection="0"/>
    <xf numFmtId="0" fontId="40" fillId="0" borderId="42" applyNumberFormat="0" applyFill="0" applyAlignment="0" applyProtection="0"/>
    <xf numFmtId="0" fontId="1" fillId="0" borderId="44" applyNumberFormat="0" applyFill="0" applyAlignment="0" applyProtection="0"/>
    <xf numFmtId="0" fontId="22" fillId="59" borderId="46" applyNumberFormat="0" applyFont="0" applyAlignment="0" applyProtection="0"/>
    <xf numFmtId="0" fontId="28" fillId="56" borderId="45" applyNumberFormat="0" applyAlignment="0" applyProtection="0"/>
    <xf numFmtId="0" fontId="28" fillId="56" borderId="45" applyNumberFormat="0" applyAlignment="0" applyProtection="0"/>
    <xf numFmtId="0" fontId="35" fillId="43" borderId="45" applyNumberFormat="0" applyAlignment="0" applyProtection="0"/>
    <xf numFmtId="0" fontId="35" fillId="43" borderId="45" applyNumberForma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38" fillId="56" borderId="47" applyNumberFormat="0" applyAlignment="0" applyProtection="0"/>
    <xf numFmtId="0" fontId="38" fillId="56" borderId="47" applyNumberFormat="0" applyAlignment="0" applyProtection="0"/>
    <xf numFmtId="0" fontId="40" fillId="0" borderId="48" applyNumberFormat="0" applyFill="0" applyAlignment="0" applyProtection="0"/>
    <xf numFmtId="0" fontId="40" fillId="0" borderId="48" applyNumberFormat="0" applyFill="0" applyAlignment="0" applyProtection="0"/>
    <xf numFmtId="0" fontId="1" fillId="0" borderId="49" applyNumberFormat="0" applyFill="0" applyAlignment="0" applyProtection="0"/>
    <xf numFmtId="0" fontId="22" fillId="59" borderId="46" applyNumberFormat="0" applyFont="0" applyAlignment="0" applyProtection="0"/>
    <xf numFmtId="0" fontId="28" fillId="56" borderId="45" applyNumberFormat="0" applyAlignment="0" applyProtection="0"/>
    <xf numFmtId="0" fontId="28" fillId="56" borderId="45" applyNumberFormat="0" applyAlignment="0" applyProtection="0"/>
    <xf numFmtId="0" fontId="35" fillId="43" borderId="45" applyNumberForma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35" fillId="43" borderId="45" applyNumberFormat="0" applyAlignment="0" applyProtection="0"/>
    <xf numFmtId="0" fontId="22" fillId="59" borderId="46" applyNumberFormat="0" applyFont="0" applyAlignment="0" applyProtection="0"/>
    <xf numFmtId="0" fontId="22" fillId="59" borderId="46" applyNumberFormat="0" applyFont="0" applyAlignment="0" applyProtection="0"/>
    <xf numFmtId="0" fontId="22" fillId="59" borderId="46" applyNumberFormat="0" applyFont="0" applyAlignment="0" applyProtection="0"/>
    <xf numFmtId="0" fontId="38" fillId="56" borderId="47" applyNumberFormat="0" applyAlignment="0" applyProtection="0"/>
    <xf numFmtId="0" fontId="38" fillId="56" borderId="47" applyNumberFormat="0" applyAlignment="0" applyProtection="0"/>
    <xf numFmtId="0" fontId="40" fillId="0" borderId="48" applyNumberFormat="0" applyFill="0" applyAlignment="0" applyProtection="0"/>
    <xf numFmtId="0" fontId="40" fillId="0" borderId="48" applyNumberFormat="0" applyFill="0" applyAlignment="0" applyProtection="0"/>
    <xf numFmtId="0" fontId="1" fillId="0" borderId="49" applyNumberFormat="0" applyFill="0" applyAlignment="0" applyProtection="0"/>
    <xf numFmtId="9" fontId="6" fillId="0" borderId="0" applyFont="0" applyFill="0" applyBorder="0" applyAlignment="0" applyProtection="0"/>
    <xf numFmtId="0" fontId="93" fillId="0" borderId="0" applyNumberFormat="0" applyFill="0" applyBorder="0" applyAlignment="0" applyProtection="0"/>
  </cellStyleXfs>
  <cellXfs count="1096">
    <xf numFmtId="0" fontId="0" fillId="0" borderId="0" xfId="0"/>
    <xf numFmtId="0" fontId="2" fillId="0" borderId="0" xfId="0" applyFont="1"/>
    <xf numFmtId="0" fontId="2" fillId="0" borderId="13" xfId="0" applyFont="1" applyBorder="1"/>
    <xf numFmtId="0" fontId="2" fillId="0" borderId="8" xfId="0" applyFont="1" applyBorder="1"/>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3" fillId="0" borderId="8" xfId="0" applyFont="1" applyBorder="1"/>
    <xf numFmtId="0" fontId="0" fillId="61" borderId="0" xfId="0" applyFill="1"/>
    <xf numFmtId="0" fontId="45" fillId="0" borderId="0" xfId="0" applyFont="1"/>
    <xf numFmtId="0" fontId="53" fillId="0" borderId="13" xfId="0" applyFont="1" applyBorder="1"/>
    <xf numFmtId="0" fontId="53" fillId="0" borderId="0" xfId="0" applyFont="1"/>
    <xf numFmtId="0" fontId="53" fillId="0" borderId="0" xfId="0" applyFont="1" applyAlignment="1">
      <alignment horizontal="center" vertical="center" wrapText="1"/>
    </xf>
    <xf numFmtId="0" fontId="53" fillId="0" borderId="8" xfId="0" applyFont="1" applyBorder="1"/>
    <xf numFmtId="0" fontId="53" fillId="0" borderId="7" xfId="0" applyFont="1" applyBorder="1"/>
    <xf numFmtId="0" fontId="53" fillId="0" borderId="4" xfId="0" applyFont="1" applyBorder="1"/>
    <xf numFmtId="0" fontId="53" fillId="0" borderId="5" xfId="0" applyFont="1" applyBorder="1"/>
    <xf numFmtId="0" fontId="53" fillId="0" borderId="6" xfId="0" applyFont="1" applyBorder="1"/>
    <xf numFmtId="0" fontId="57" fillId="0" borderId="0" xfId="0" applyFont="1"/>
    <xf numFmtId="0" fontId="53" fillId="0" borderId="0" xfId="0" applyFont="1" applyAlignment="1">
      <alignment horizontal="center" vertical="center"/>
    </xf>
    <xf numFmtId="0" fontId="57" fillId="0" borderId="13" xfId="0" applyFont="1" applyBorder="1"/>
    <xf numFmtId="0" fontId="57" fillId="0" borderId="8" xfId="0" applyFont="1" applyBorder="1"/>
    <xf numFmtId="0" fontId="57" fillId="0" borderId="7" xfId="0" applyFont="1" applyBorder="1" applyAlignment="1">
      <alignment horizontal="left" vertical="center"/>
    </xf>
    <xf numFmtId="0" fontId="57" fillId="0" borderId="0" xfId="0" applyFont="1" applyAlignment="1">
      <alignment horizontal="left" vertical="center" wrapText="1"/>
    </xf>
    <xf numFmtId="0" fontId="57" fillId="0" borderId="8" xfId="0" applyFont="1" applyBorder="1" applyAlignment="1">
      <alignment horizontal="left" vertical="center" wrapText="1"/>
    </xf>
    <xf numFmtId="0" fontId="57" fillId="0" borderId="0" xfId="0" applyFont="1" applyAlignment="1">
      <alignment horizontal="center" vertical="center" wrapText="1"/>
    </xf>
    <xf numFmtId="0" fontId="57" fillId="0" borderId="0" xfId="0" applyFont="1" applyAlignment="1">
      <alignment horizontal="center" vertical="center"/>
    </xf>
    <xf numFmtId="0" fontId="64" fillId="0" borderId="0" xfId="0" applyFont="1" applyAlignment="1">
      <alignment horizontal="left" vertical="center" wrapText="1"/>
    </xf>
    <xf numFmtId="0" fontId="57" fillId="0" borderId="13" xfId="0" applyFont="1" applyBorder="1" applyAlignment="1">
      <alignment horizontal="left" vertical="center" wrapText="1"/>
    </xf>
    <xf numFmtId="0" fontId="62" fillId="0" borderId="0" xfId="0" applyFont="1"/>
    <xf numFmtId="0" fontId="52" fillId="0" borderId="0" xfId="0" applyFont="1" applyAlignment="1">
      <alignment horizontal="center" vertical="center"/>
    </xf>
    <xf numFmtId="0" fontId="64" fillId="0" borderId="0" xfId="0" applyFont="1" applyAlignment="1">
      <alignment horizontal="center" vertical="center" wrapText="1"/>
    </xf>
    <xf numFmtId="0" fontId="57" fillId="0" borderId="21" xfId="0" applyFont="1" applyBorder="1" applyAlignment="1">
      <alignment horizontal="center" vertical="center" wrapText="1"/>
    </xf>
    <xf numFmtId="0" fontId="57" fillId="0" borderId="0" xfId="0" applyFont="1" applyAlignment="1">
      <alignment vertical="center" wrapText="1"/>
    </xf>
    <xf numFmtId="0" fontId="64" fillId="0" borderId="0" xfId="0" applyFont="1" applyAlignment="1">
      <alignment vertical="center" wrapText="1"/>
    </xf>
    <xf numFmtId="0" fontId="53" fillId="0" borderId="7" xfId="0" applyFont="1" applyBorder="1" applyAlignment="1">
      <alignment horizontal="left" vertical="center"/>
    </xf>
    <xf numFmtId="0" fontId="57" fillId="0" borderId="0" xfId="0" applyFont="1" applyAlignment="1">
      <alignment horizontal="center"/>
    </xf>
    <xf numFmtId="0" fontId="53" fillId="0" borderId="7" xfId="0" applyFont="1" applyBorder="1" applyAlignment="1">
      <alignment vertical="center"/>
    </xf>
    <xf numFmtId="0" fontId="53"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13" xfId="0" applyFont="1" applyBorder="1" applyAlignment="1">
      <alignment horizontal="left" vertical="center"/>
    </xf>
    <xf numFmtId="0" fontId="57" fillId="0" borderId="8" xfId="0" applyFont="1" applyBorder="1" applyAlignment="1">
      <alignment horizontal="left" vertical="center"/>
    </xf>
    <xf numFmtId="0" fontId="57" fillId="0" borderId="0" xfId="0" applyFont="1" applyAlignment="1">
      <alignment horizontal="left" vertical="center"/>
    </xf>
    <xf numFmtId="0" fontId="57" fillId="0" borderId="4" xfId="0" applyFont="1" applyBorder="1" applyAlignment="1">
      <alignment horizontal="left" vertical="center"/>
    </xf>
    <xf numFmtId="0" fontId="57" fillId="0" borderId="5" xfId="0" applyFont="1" applyBorder="1"/>
    <xf numFmtId="0" fontId="57" fillId="0" borderId="6" xfId="0" applyFont="1" applyBorder="1" applyAlignment="1">
      <alignment horizontal="left" vertical="center"/>
    </xf>
    <xf numFmtId="0" fontId="57"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0" xfId="0" applyFont="1" applyAlignment="1">
      <alignment horizontal="left"/>
    </xf>
    <xf numFmtId="0" fontId="57" fillId="0" borderId="7"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2" xfId="0" applyFont="1" applyBorder="1" applyAlignment="1">
      <alignment horizontal="center" vertical="center"/>
    </xf>
    <xf numFmtId="0" fontId="57" fillId="0" borderId="9" xfId="0" applyFont="1" applyBorder="1" applyAlignment="1">
      <alignment horizontal="center"/>
    </xf>
    <xf numFmtId="0" fontId="53" fillId="0" borderId="0" xfId="0" applyFont="1" applyAlignment="1">
      <alignment horizontal="left" vertical="center" indent="15"/>
    </xf>
    <xf numFmtId="0" fontId="64" fillId="0" borderId="0" xfId="0" applyFont="1"/>
    <xf numFmtId="0" fontId="53" fillId="0" borderId="0" xfId="0" applyFont="1" applyAlignment="1">
      <alignment horizontal="left"/>
    </xf>
    <xf numFmtId="0" fontId="57" fillId="0" borderId="16" xfId="0" applyFont="1" applyBorder="1" applyAlignment="1">
      <alignment horizontal="left" vertical="center" wrapText="1"/>
    </xf>
    <xf numFmtId="0" fontId="57" fillId="0" borderId="4" xfId="0" applyFont="1" applyBorder="1"/>
    <xf numFmtId="0" fontId="57" fillId="0" borderId="5" xfId="0" applyFont="1" applyBorder="1" applyAlignment="1">
      <alignment horizontal="center" vertical="center"/>
    </xf>
    <xf numFmtId="0" fontId="57" fillId="0" borderId="6" xfId="0" applyFont="1" applyBorder="1"/>
    <xf numFmtId="0" fontId="66" fillId="0" borderId="0" xfId="0" applyFont="1"/>
    <xf numFmtId="0" fontId="66" fillId="0" borderId="0" xfId="0" applyFont="1" applyAlignment="1">
      <alignment horizontal="center" vertical="center"/>
    </xf>
    <xf numFmtId="0" fontId="66" fillId="0" borderId="11" xfId="0" applyFont="1" applyBorder="1" applyAlignment="1">
      <alignment horizontal="center" vertical="center"/>
    </xf>
    <xf numFmtId="0" fontId="66" fillId="0" borderId="12" xfId="0" applyFont="1" applyBorder="1" applyAlignment="1">
      <alignment horizontal="center" vertical="center"/>
    </xf>
    <xf numFmtId="0" fontId="66" fillId="0" borderId="0" xfId="0" applyFont="1" applyAlignment="1">
      <alignment horizontal="center"/>
    </xf>
    <xf numFmtId="0" fontId="66" fillId="0" borderId="5" xfId="0" applyFont="1" applyBorder="1"/>
    <xf numFmtId="0" fontId="53" fillId="0" borderId="0" xfId="0" applyFont="1" applyAlignment="1">
      <alignment horizontal="left" vertical="center"/>
    </xf>
    <xf numFmtId="0" fontId="53" fillId="0" borderId="5" xfId="0" applyFont="1" applyBorder="1" applyAlignment="1">
      <alignment horizontal="center" vertical="center"/>
    </xf>
    <xf numFmtId="1" fontId="53" fillId="0" borderId="0" xfId="0" applyNumberFormat="1" applyFont="1" applyAlignment="1">
      <alignment horizontal="center" vertical="center"/>
    </xf>
    <xf numFmtId="0" fontId="71" fillId="0" borderId="0" xfId="0" applyFont="1"/>
    <xf numFmtId="0" fontId="66" fillId="0" borderId="0" xfId="0" applyFont="1" applyAlignment="1">
      <alignment vertical="center"/>
    </xf>
    <xf numFmtId="0" fontId="71" fillId="0" borderId="5" xfId="0" applyFont="1" applyBorder="1"/>
    <xf numFmtId="0" fontId="46" fillId="0" borderId="0" xfId="0" applyFont="1"/>
    <xf numFmtId="0" fontId="46" fillId="0" borderId="13" xfId="0" applyFont="1" applyBorder="1"/>
    <xf numFmtId="0" fontId="46" fillId="0" borderId="8" xfId="0" applyFont="1" applyBorder="1"/>
    <xf numFmtId="0" fontId="46" fillId="0" borderId="8" xfId="0" applyFont="1" applyBorder="1" applyAlignment="1">
      <alignment horizontal="left" vertical="center" wrapText="1"/>
    </xf>
    <xf numFmtId="0" fontId="46" fillId="0" borderId="13" xfId="0" applyFont="1" applyBorder="1" applyAlignment="1">
      <alignment horizontal="left" vertical="center" wrapText="1"/>
    </xf>
    <xf numFmtId="0" fontId="45" fillId="0" borderId="13" xfId="0" applyFont="1" applyBorder="1"/>
    <xf numFmtId="0" fontId="45" fillId="0" borderId="8" xfId="0" applyFont="1" applyBorder="1"/>
    <xf numFmtId="0" fontId="57" fillId="0" borderId="10" xfId="0" applyFont="1" applyBorder="1" applyAlignment="1">
      <alignment horizontal="center" vertical="center"/>
    </xf>
    <xf numFmtId="0" fontId="45" fillId="0" borderId="4" xfId="0" applyFont="1" applyBorder="1"/>
    <xf numFmtId="0" fontId="45" fillId="0" borderId="5" xfId="0" applyFont="1" applyBorder="1"/>
    <xf numFmtId="0" fontId="45" fillId="0" borderId="6" xfId="0" applyFont="1" applyBorder="1"/>
    <xf numFmtId="0" fontId="55" fillId="0" borderId="0" xfId="0" applyFont="1"/>
    <xf numFmtId="0" fontId="55" fillId="0" borderId="8" xfId="0" applyFont="1" applyBorder="1" applyAlignment="1">
      <alignment vertical="center"/>
    </xf>
    <xf numFmtId="0" fontId="53" fillId="0" borderId="5" xfId="0" applyFont="1" applyBorder="1" applyAlignment="1">
      <alignment horizontal="left" vertical="center"/>
    </xf>
    <xf numFmtId="0" fontId="0" fillId="0" borderId="13" xfId="0" applyBorder="1"/>
    <xf numFmtId="0" fontId="0" fillId="0" borderId="8" xfId="0" applyBorder="1"/>
    <xf numFmtId="0" fontId="0" fillId="0" borderId="4" xfId="0" applyBorder="1"/>
    <xf numFmtId="0" fontId="0" fillId="0" borderId="5" xfId="0" applyBorder="1"/>
    <xf numFmtId="0" fontId="0" fillId="0" borderId="6" xfId="0" applyBorder="1"/>
    <xf numFmtId="0" fontId="57" fillId="0" borderId="22" xfId="0" applyFont="1" applyBorder="1" applyAlignment="1">
      <alignment vertical="center"/>
      <extLst>
        <ext xmlns:xfpb="http://schemas.microsoft.com/office/spreadsheetml/2022/featurepropertybag" uri="{C7286773-470A-42A8-94C5-96B5CB345126}">
          <xfpb:xfComplement i="0"/>
        </ext>
      </extLst>
    </xf>
    <xf numFmtId="0" fontId="82" fillId="0" borderId="0" xfId="0" applyFont="1" applyAlignment="1">
      <alignment horizontal="center" vertical="center"/>
    </xf>
    <xf numFmtId="0" fontId="52" fillId="0" borderId="0" xfId="0" applyFont="1" applyAlignment="1">
      <alignment horizontal="center" vertical="center" wrapText="1"/>
    </xf>
    <xf numFmtId="0" fontId="45" fillId="61" borderId="0" xfId="0" applyFont="1" applyFill="1"/>
    <xf numFmtId="0" fontId="53" fillId="61" borderId="0" xfId="0" applyFont="1" applyFill="1"/>
    <xf numFmtId="0" fontId="57" fillId="61" borderId="0" xfId="0" applyFont="1" applyFill="1"/>
    <xf numFmtId="0" fontId="66" fillId="61" borderId="0" xfId="0" applyFont="1" applyFill="1"/>
    <xf numFmtId="0" fontId="57" fillId="61" borderId="0" xfId="0" applyFont="1" applyFill="1" applyAlignment="1">
      <alignment horizontal="center" vertical="center"/>
    </xf>
    <xf numFmtId="0" fontId="63" fillId="61" borderId="0" xfId="0" applyFont="1" applyFill="1" applyAlignment="1">
      <alignment horizontal="center" vertical="center"/>
    </xf>
    <xf numFmtId="0" fontId="57" fillId="61" borderId="0" xfId="0" applyFont="1" applyFill="1" applyAlignment="1">
      <alignment horizontal="left" vertical="center" wrapText="1"/>
    </xf>
    <xf numFmtId="0" fontId="57" fillId="61" borderId="0" xfId="0" applyFont="1" applyFill="1" applyAlignment="1">
      <alignment horizontal="left" vertical="center"/>
    </xf>
    <xf numFmtId="0" fontId="84" fillId="61" borderId="0" xfId="0" applyFont="1" applyFill="1" applyAlignment="1">
      <alignment horizontal="center" vertical="center"/>
    </xf>
    <xf numFmtId="0" fontId="84" fillId="61" borderId="0" xfId="0" applyFont="1" applyFill="1"/>
    <xf numFmtId="0" fontId="85" fillId="61" borderId="0" xfId="0" applyFont="1" applyFill="1" applyAlignment="1">
      <alignment horizontal="center" vertical="center"/>
    </xf>
    <xf numFmtId="0" fontId="85" fillId="61" borderId="0" xfId="0" applyFont="1" applyFill="1" applyAlignment="1">
      <alignment vertical="center"/>
    </xf>
    <xf numFmtId="0" fontId="85" fillId="61" borderId="50" xfId="0" applyFont="1" applyFill="1" applyBorder="1" applyAlignment="1">
      <alignment horizontal="center" vertical="center"/>
    </xf>
    <xf numFmtId="0" fontId="85" fillId="61" borderId="15" xfId="0" applyFont="1" applyFill="1" applyBorder="1" applyAlignment="1">
      <alignment horizontal="center" vertical="center"/>
    </xf>
    <xf numFmtId="0" fontId="85" fillId="61" borderId="0" xfId="0" applyFont="1" applyFill="1" applyAlignment="1">
      <alignment horizontal="center"/>
    </xf>
    <xf numFmtId="0" fontId="85" fillId="61" borderId="20" xfId="0" applyFont="1" applyFill="1" applyBorder="1" applyAlignment="1">
      <alignment horizontal="center" vertical="center"/>
    </xf>
    <xf numFmtId="0" fontId="84" fillId="61" borderId="18" xfId="0" applyFont="1" applyFill="1" applyBorder="1" applyAlignment="1">
      <alignment horizontal="center" vertical="center"/>
    </xf>
    <xf numFmtId="0" fontId="84" fillId="61" borderId="19" xfId="0" applyFont="1" applyFill="1" applyBorder="1" applyAlignment="1">
      <alignment horizontal="center" vertical="center"/>
    </xf>
    <xf numFmtId="0" fontId="84" fillId="61" borderId="7" xfId="0" applyFont="1" applyFill="1" applyBorder="1" applyAlignment="1">
      <alignment horizontal="center" vertical="center"/>
    </xf>
    <xf numFmtId="0" fontId="84" fillId="61" borderId="16" xfId="0" applyFont="1" applyFill="1" applyBorder="1" applyAlignment="1">
      <alignment horizontal="center" vertical="center" wrapText="1"/>
    </xf>
    <xf numFmtId="0" fontId="84" fillId="61" borderId="17" xfId="0" applyFont="1" applyFill="1" applyBorder="1" applyAlignment="1">
      <alignment horizontal="center" vertical="center" wrapText="1"/>
    </xf>
    <xf numFmtId="0" fontId="84" fillId="61" borderId="0" xfId="0" applyFont="1" applyFill="1" applyAlignment="1">
      <alignment vertical="center"/>
    </xf>
    <xf numFmtId="0" fontId="84" fillId="61" borderId="18" xfId="0" applyFont="1" applyFill="1" applyBorder="1" applyAlignment="1">
      <alignment horizontal="center" vertical="center" wrapText="1"/>
    </xf>
    <xf numFmtId="0" fontId="85" fillId="61" borderId="23" xfId="0" applyFont="1" applyFill="1" applyBorder="1" applyAlignment="1">
      <alignment horizontal="center" vertical="center"/>
    </xf>
    <xf numFmtId="0" fontId="84" fillId="61" borderId="0" xfId="0" applyFont="1" applyFill="1" applyAlignment="1">
      <alignment horizontal="center" vertical="center" wrapText="1"/>
    </xf>
    <xf numFmtId="0" fontId="84" fillId="61" borderId="15" xfId="0" applyFont="1" applyFill="1" applyBorder="1" applyAlignment="1">
      <alignment horizontal="center" vertical="center"/>
    </xf>
    <xf numFmtId="0" fontId="84" fillId="61" borderId="17" xfId="0" applyFont="1" applyFill="1" applyBorder="1" applyAlignment="1">
      <alignment horizontal="center" vertical="center"/>
    </xf>
    <xf numFmtId="0" fontId="84" fillId="61" borderId="16" xfId="0" applyFont="1" applyFill="1" applyBorder="1" applyAlignment="1">
      <alignment horizontal="center" vertical="center"/>
    </xf>
    <xf numFmtId="0" fontId="84" fillId="61" borderId="0" xfId="0" applyFont="1" applyFill="1" applyAlignment="1">
      <alignment horizontal="left" vertical="center"/>
    </xf>
    <xf numFmtId="0" fontId="84" fillId="61" borderId="19" xfId="0" applyFont="1" applyFill="1" applyBorder="1" applyAlignment="1">
      <alignment horizontal="center" vertical="center" wrapText="1"/>
    </xf>
    <xf numFmtId="0" fontId="85" fillId="61" borderId="23" xfId="0" applyFont="1" applyFill="1" applyBorder="1" applyAlignment="1">
      <alignment horizontal="center" vertical="center" wrapText="1"/>
    </xf>
    <xf numFmtId="0" fontId="84" fillId="61" borderId="23" xfId="0" applyFont="1" applyFill="1" applyBorder="1" applyAlignment="1">
      <alignment horizontal="center" vertical="center" wrapText="1"/>
    </xf>
    <xf numFmtId="0" fontId="84" fillId="61" borderId="14" xfId="0" applyFont="1" applyFill="1" applyBorder="1" applyAlignment="1">
      <alignment horizontal="center" vertical="center"/>
    </xf>
    <xf numFmtId="0" fontId="84" fillId="61" borderId="23" xfId="0" applyFont="1" applyFill="1" applyBorder="1" applyAlignment="1">
      <alignment horizontal="center" vertical="center"/>
    </xf>
    <xf numFmtId="0" fontId="71" fillId="61" borderId="0" xfId="0" applyFont="1" applyFill="1"/>
    <xf numFmtId="0" fontId="53" fillId="61" borderId="0" xfId="0" applyFont="1" applyFill="1" applyAlignment="1">
      <alignment horizontal="center" vertical="center"/>
    </xf>
    <xf numFmtId="0" fontId="84" fillId="61" borderId="50" xfId="0" applyFont="1" applyFill="1" applyBorder="1" applyAlignment="1">
      <alignment horizontal="center" vertical="center"/>
    </xf>
    <xf numFmtId="0" fontId="71" fillId="61" borderId="0" xfId="0" applyFont="1" applyFill="1" applyAlignment="1">
      <alignment vertical="center"/>
    </xf>
    <xf numFmtId="0" fontId="53" fillId="0" borderId="56" xfId="0" applyFont="1" applyBorder="1" applyAlignment="1">
      <alignment horizontal="center" vertical="center"/>
      <extLst>
        <ext xmlns:xfpb="http://schemas.microsoft.com/office/spreadsheetml/2022/featurepropertybag" uri="{C7286773-470A-42A8-94C5-96B5CB345126}">
          <xfpb:xfComplement i="0"/>
        </ext>
      </extLst>
    </xf>
    <xf numFmtId="0" fontId="66" fillId="0" borderId="60" xfId="0" applyFont="1" applyBorder="1" applyAlignment="1">
      <alignment vertical="center"/>
    </xf>
    <xf numFmtId="0" fontId="53" fillId="0" borderId="0" xfId="0" applyFont="1" applyAlignment="1">
      <alignment vertical="center" wrapText="1"/>
    </xf>
    <xf numFmtId="0" fontId="81" fillId="61" borderId="0" xfId="0" applyFont="1" applyFill="1" applyAlignment="1">
      <alignment horizontal="center" vertical="center"/>
    </xf>
    <xf numFmtId="0" fontId="85" fillId="61" borderId="11" xfId="0" applyFont="1" applyFill="1" applyBorder="1" applyAlignment="1">
      <alignment horizontal="center" vertical="center"/>
    </xf>
    <xf numFmtId="0" fontId="85" fillId="61" borderId="22" xfId="0" applyFont="1" applyFill="1" applyBorder="1" applyAlignment="1">
      <alignment horizontal="center" vertical="center"/>
    </xf>
    <xf numFmtId="0" fontId="84" fillId="61" borderId="0" xfId="0" applyFont="1" applyFill="1" applyAlignment="1">
      <alignment horizontal="center"/>
    </xf>
    <xf numFmtId="0" fontId="84" fillId="61" borderId="23" xfId="0" applyFont="1" applyFill="1" applyBorder="1" applyAlignment="1">
      <alignment horizontal="center"/>
    </xf>
    <xf numFmtId="0" fontId="4" fillId="61" borderId="0" xfId="0" applyFont="1" applyFill="1" applyAlignment="1">
      <alignment horizontal="center" vertical="center"/>
    </xf>
    <xf numFmtId="0" fontId="2" fillId="61" borderId="0" xfId="0" applyFont="1" applyFill="1"/>
    <xf numFmtId="0" fontId="2" fillId="61" borderId="0" xfId="0" applyFont="1" applyFill="1" applyAlignment="1">
      <alignment horizontal="left" vertical="center" wrapText="1"/>
    </xf>
    <xf numFmtId="0" fontId="53" fillId="61" borderId="0" xfId="0" applyFont="1" applyFill="1" applyAlignment="1">
      <alignment horizontal="left" vertical="center"/>
    </xf>
    <xf numFmtId="0" fontId="84" fillId="61" borderId="17" xfId="0" applyFont="1" applyFill="1" applyBorder="1" applyAlignment="1">
      <alignment horizontal="center"/>
    </xf>
    <xf numFmtId="0" fontId="84" fillId="61" borderId="16" xfId="0" applyFont="1" applyFill="1" applyBorder="1" applyAlignment="1">
      <alignment horizontal="center"/>
    </xf>
    <xf numFmtId="0" fontId="84" fillId="61" borderId="19" xfId="0" applyFont="1" applyFill="1" applyBorder="1" applyAlignment="1">
      <alignment horizontal="center"/>
    </xf>
    <xf numFmtId="0" fontId="53" fillId="0" borderId="1" xfId="0" applyFont="1" applyBorder="1"/>
    <xf numFmtId="0" fontId="53" fillId="0" borderId="2" xfId="0" applyFont="1" applyBorder="1"/>
    <xf numFmtId="0" fontId="53" fillId="0" borderId="2" xfId="0" applyFont="1" applyBorder="1" applyAlignment="1">
      <alignment wrapText="1"/>
    </xf>
    <xf numFmtId="0" fontId="53" fillId="0" borderId="3" xfId="0" applyFont="1" applyBorder="1" applyAlignment="1">
      <alignment wrapText="1"/>
    </xf>
    <xf numFmtId="0" fontId="53" fillId="0" borderId="8" xfId="0" applyFont="1" applyBorder="1" applyAlignment="1">
      <alignment wrapText="1"/>
    </xf>
    <xf numFmtId="0" fontId="53" fillId="0" borderId="56" xfId="0" applyFont="1" applyBorder="1"/>
    <xf numFmtId="0" fontId="56" fillId="0" borderId="0" xfId="0" applyFont="1" applyAlignment="1">
      <alignment horizontal="center" vertical="center"/>
    </xf>
    <xf numFmtId="0" fontId="53" fillId="0" borderId="56" xfId="0" applyFont="1" applyBorder="1">
      <extLst>
        <ext xmlns:xfpb="http://schemas.microsoft.com/office/spreadsheetml/2022/featurepropertybag" uri="{C7286773-470A-42A8-94C5-96B5CB345126}">
          <xfpb:xfComplement i="0"/>
        </ext>
      </extLst>
    </xf>
    <xf numFmtId="0" fontId="51" fillId="2" borderId="13" xfId="0" applyFont="1" applyFill="1" applyBorder="1"/>
    <xf numFmtId="0" fontId="49" fillId="2" borderId="8" xfId="0" applyFont="1" applyFill="1" applyBorder="1"/>
    <xf numFmtId="0" fontId="49" fillId="2" borderId="13" xfId="0" applyFont="1" applyFill="1" applyBorder="1"/>
    <xf numFmtId="0" fontId="45" fillId="2" borderId="13" xfId="0" applyFont="1" applyFill="1" applyBorder="1"/>
    <xf numFmtId="0" fontId="46" fillId="2" borderId="8" xfId="0" applyFont="1" applyFill="1" applyBorder="1" applyAlignment="1">
      <alignment vertical="center" wrapText="1"/>
    </xf>
    <xf numFmtId="0" fontId="47" fillId="2" borderId="13" xfId="0" applyFont="1" applyFill="1" applyBorder="1" applyAlignment="1">
      <alignment horizontal="left"/>
    </xf>
    <xf numFmtId="0" fontId="45" fillId="2" borderId="13" xfId="0" applyFont="1" applyFill="1" applyBorder="1" applyAlignment="1">
      <alignment horizontal="left"/>
    </xf>
    <xf numFmtId="0" fontId="0" fillId="2" borderId="8" xfId="0" applyFill="1" applyBorder="1"/>
    <xf numFmtId="0" fontId="0" fillId="2" borderId="13" xfId="0" applyFill="1" applyBorder="1"/>
    <xf numFmtId="0" fontId="0" fillId="2" borderId="4" xfId="0" applyFill="1" applyBorder="1"/>
    <xf numFmtId="0" fontId="0" fillId="2" borderId="5" xfId="0" applyFill="1" applyBorder="1"/>
    <xf numFmtId="0" fontId="57" fillId="3" borderId="0" xfId="0" applyFont="1" applyFill="1"/>
    <xf numFmtId="0" fontId="57" fillId="3" borderId="0" xfId="0" applyFont="1" applyFill="1" applyAlignment="1">
      <alignment horizontal="left" vertical="center" wrapText="1"/>
    </xf>
    <xf numFmtId="0" fontId="57" fillId="3" borderId="0" xfId="0" applyFont="1" applyFill="1" applyAlignment="1">
      <alignment horizontal="left" vertical="center"/>
    </xf>
    <xf numFmtId="0" fontId="53" fillId="3" borderId="0" xfId="0" applyFont="1" applyFill="1"/>
    <xf numFmtId="0" fontId="46" fillId="3" borderId="0" xfId="0" applyFont="1" applyFill="1"/>
    <xf numFmtId="0" fontId="45" fillId="3" borderId="0" xfId="0" applyFont="1" applyFill="1"/>
    <xf numFmtId="0" fontId="2" fillId="3" borderId="0" xfId="0" applyFont="1" applyFill="1"/>
    <xf numFmtId="0" fontId="0" fillId="3" borderId="0" xfId="0" applyFill="1"/>
    <xf numFmtId="0" fontId="85" fillId="61" borderId="59" xfId="0" applyFont="1" applyFill="1" applyBorder="1" applyAlignment="1">
      <alignment horizontal="center" vertical="center"/>
    </xf>
    <xf numFmtId="0" fontId="85" fillId="61" borderId="61" xfId="0" applyFont="1" applyFill="1" applyBorder="1" applyAlignment="1">
      <alignment horizontal="center" vertical="center"/>
    </xf>
    <xf numFmtId="0" fontId="66" fillId="0" borderId="0" xfId="0" applyFont="1" applyAlignment="1">
      <alignment horizontal="left" vertical="center"/>
    </xf>
    <xf numFmtId="0" fontId="53" fillId="0" borderId="7" xfId="0" applyFont="1" applyBorder="1" applyAlignment="1">
      <alignment horizontal="left" vertical="center" wrapText="1"/>
    </xf>
    <xf numFmtId="0" fontId="66" fillId="0" borderId="9" xfId="0" applyFont="1" applyBorder="1" applyAlignment="1">
      <alignment vertical="center"/>
    </xf>
    <xf numFmtId="0" fontId="57" fillId="0" borderId="56" xfId="0" applyFont="1" applyBorder="1" applyAlignment="1">
      <alignment vertical="center"/>
      <extLst>
        <ext xmlns:xfpb="http://schemas.microsoft.com/office/spreadsheetml/2022/featurepropertybag" uri="{C7286773-470A-42A8-94C5-96B5CB345126}">
          <xfpb:xfComplement i="0"/>
        </ext>
      </extLst>
    </xf>
    <xf numFmtId="0" fontId="57" fillId="0" borderId="56" xfId="0" applyFont="1" applyBorder="1" applyAlignment="1">
      <alignment horizontal="center" vertical="center"/>
      <extLst>
        <ext xmlns:xfpb="http://schemas.microsoft.com/office/spreadsheetml/2022/featurepropertybag" uri="{C7286773-470A-42A8-94C5-96B5CB345126}">
          <xfpb:xfComplement i="0"/>
        </ext>
      </extLst>
    </xf>
    <xf numFmtId="0" fontId="84" fillId="61" borderId="59" xfId="0" applyFont="1" applyFill="1" applyBorder="1" applyAlignment="1">
      <alignment horizontal="center" vertical="center"/>
    </xf>
    <xf numFmtId="0" fontId="84" fillId="61" borderId="61" xfId="0" applyFont="1" applyFill="1" applyBorder="1" applyAlignment="1">
      <alignment horizontal="center" vertical="center"/>
    </xf>
    <xf numFmtId="0" fontId="84" fillId="61" borderId="56" xfId="0" applyFont="1" applyFill="1" applyBorder="1" applyAlignment="1">
      <alignment horizontal="center" vertical="center"/>
    </xf>
    <xf numFmtId="0" fontId="84" fillId="61" borderId="10" xfId="0" applyFont="1" applyFill="1" applyBorder="1" applyAlignment="1">
      <alignment horizontal="center" vertical="center"/>
    </xf>
    <xf numFmtId="0" fontId="53" fillId="0" borderId="57" xfId="0" applyFont="1" applyBorder="1" applyAlignment="1">
      <alignment vertical="center"/>
    </xf>
    <xf numFmtId="0" fontId="53" fillId="0" borderId="56" xfId="0" applyFont="1" applyBorder="1" applyAlignment="1">
      <alignment vertical="center"/>
    </xf>
    <xf numFmtId="14" fontId="79" fillId="2" borderId="6" xfId="0" applyNumberFormat="1" applyFont="1" applyFill="1" applyBorder="1"/>
    <xf numFmtId="0" fontId="84" fillId="61" borderId="0" xfId="0" applyFont="1" applyFill="1" applyAlignment="1">
      <alignment horizontal="left" vertical="center" wrapText="1"/>
    </xf>
    <xf numFmtId="0" fontId="85" fillId="61" borderId="62" xfId="0" applyFont="1" applyFill="1" applyBorder="1" applyAlignment="1">
      <alignment horizontal="center" vertical="center"/>
    </xf>
    <xf numFmtId="0" fontId="84" fillId="61" borderId="59" xfId="0" applyFont="1" applyFill="1" applyBorder="1" applyAlignment="1">
      <alignment horizontal="center" vertical="center" wrapText="1"/>
    </xf>
    <xf numFmtId="0" fontId="84" fillId="61" borderId="17" xfId="0" applyFont="1" applyFill="1" applyBorder="1"/>
    <xf numFmtId="0" fontId="84" fillId="61" borderId="16" xfId="0" applyFont="1" applyFill="1" applyBorder="1"/>
    <xf numFmtId="0" fontId="84" fillId="61" borderId="13" xfId="0" applyFont="1" applyFill="1" applyBorder="1"/>
    <xf numFmtId="0" fontId="84" fillId="61" borderId="69" xfId="0" applyFont="1" applyFill="1" applyBorder="1" applyAlignment="1">
      <alignment horizontal="center" vertical="center"/>
    </xf>
    <xf numFmtId="0" fontId="84" fillId="61" borderId="9" xfId="0" applyFont="1" applyFill="1" applyBorder="1" applyAlignment="1">
      <alignment horizontal="center" vertical="center"/>
    </xf>
    <xf numFmtId="0" fontId="84" fillId="61" borderId="61" xfId="0" applyFont="1" applyFill="1" applyBorder="1" applyAlignment="1">
      <alignment horizontal="center" vertical="center" wrapText="1"/>
    </xf>
    <xf numFmtId="2" fontId="85" fillId="61" borderId="56" xfId="0" applyNumberFormat="1" applyFont="1" applyFill="1" applyBorder="1" applyAlignment="1">
      <alignment horizontal="center" vertical="center"/>
    </xf>
    <xf numFmtId="2" fontId="85" fillId="61" borderId="0" xfId="0" applyNumberFormat="1" applyFont="1" applyFill="1" applyAlignment="1">
      <alignment horizontal="center" vertical="center"/>
    </xf>
    <xf numFmtId="2" fontId="85" fillId="61" borderId="60" xfId="0" applyNumberFormat="1" applyFont="1" applyFill="1" applyBorder="1" applyAlignment="1">
      <alignment horizontal="center" vertical="center"/>
    </xf>
    <xf numFmtId="0" fontId="85" fillId="61" borderId="67" xfId="0" applyFont="1" applyFill="1" applyBorder="1" applyAlignment="1">
      <alignment horizontal="center" vertical="center"/>
    </xf>
    <xf numFmtId="0" fontId="85" fillId="61" borderId="68" xfId="0" applyFont="1" applyFill="1" applyBorder="1" applyAlignment="1">
      <alignment horizontal="center" vertical="center"/>
    </xf>
    <xf numFmtId="0" fontId="57" fillId="0" borderId="56" xfId="0" applyFont="1" applyBorder="1"/>
    <xf numFmtId="0" fontId="57" fillId="0" borderId="56" xfId="0" applyFont="1" applyBorder="1">
      <extLst>
        <ext xmlns:xfpb="http://schemas.microsoft.com/office/spreadsheetml/2022/featurepropertybag" uri="{C7286773-470A-42A8-94C5-96B5CB345126}">
          <xfpb:xfComplement i="0"/>
        </ext>
      </extLst>
    </xf>
    <xf numFmtId="0" fontId="62" fillId="2" borderId="13" xfId="0" applyFont="1" applyFill="1" applyBorder="1" applyAlignment="1">
      <alignment horizontal="left"/>
    </xf>
    <xf numFmtId="0" fontId="53" fillId="0" borderId="0" xfId="0" applyFont="1" applyAlignment="1">
      <alignment horizontal="left" vertical="center" wrapText="1"/>
    </xf>
    <xf numFmtId="0" fontId="84" fillId="61" borderId="0" xfId="0" applyFont="1" applyFill="1" applyAlignment="1" applyProtection="1">
      <alignment vertical="center" wrapText="1"/>
      <protection hidden="1"/>
    </xf>
    <xf numFmtId="0" fontId="46" fillId="2" borderId="8" xfId="0" applyFont="1" applyFill="1" applyBorder="1" applyAlignment="1">
      <alignment vertical="top" wrapText="1"/>
    </xf>
    <xf numFmtId="0" fontId="53" fillId="61" borderId="0" xfId="0" applyFont="1" applyFill="1" applyAlignment="1">
      <alignment horizontal="left" vertical="center" wrapText="1"/>
    </xf>
    <xf numFmtId="0" fontId="53" fillId="0" borderId="5" xfId="0" applyFont="1" applyBorder="1" applyAlignment="1">
      <alignment horizontal="left" vertical="center" wrapText="1"/>
    </xf>
    <xf numFmtId="0" fontId="57" fillId="0" borderId="5" xfId="0" applyFont="1" applyBorder="1" applyAlignment="1">
      <alignment horizontal="left" vertical="center"/>
    </xf>
    <xf numFmtId="0" fontId="66" fillId="61" borderId="0" xfId="0" applyFont="1" applyFill="1" applyAlignment="1">
      <alignment horizontal="left"/>
    </xf>
    <xf numFmtId="0" fontId="66" fillId="0" borderId="0" xfId="0" applyFont="1" applyAlignment="1">
      <alignment horizontal="left"/>
    </xf>
    <xf numFmtId="0" fontId="62" fillId="0" borderId="0" xfId="0" applyFont="1" applyAlignment="1">
      <alignment horizontal="left"/>
    </xf>
    <xf numFmtId="0" fontId="66" fillId="0" borderId="0" xfId="0" applyFont="1" applyAlignment="1">
      <alignment horizontal="left" vertical="center" wrapText="1"/>
    </xf>
    <xf numFmtId="0" fontId="66" fillId="0" borderId="12" xfId="0" applyFont="1" applyBorder="1" applyAlignment="1">
      <alignment horizontal="left"/>
    </xf>
    <xf numFmtId="0" fontId="66" fillId="0" borderId="9" xfId="0" applyFont="1" applyBorder="1" applyAlignment="1">
      <alignment horizontal="left"/>
    </xf>
    <xf numFmtId="0" fontId="66" fillId="0" borderId="0" xfId="0" applyFont="1" applyAlignment="1">
      <alignment horizontal="left" wrapText="1"/>
    </xf>
    <xf numFmtId="0" fontId="66" fillId="0" borderId="5" xfId="0" applyFont="1" applyBorder="1" applyAlignment="1">
      <alignment horizontal="left"/>
    </xf>
    <xf numFmtId="0" fontId="71" fillId="61" borderId="0" xfId="0" applyFont="1" applyFill="1" applyAlignment="1">
      <alignment horizontal="left"/>
    </xf>
    <xf numFmtId="0" fontId="71" fillId="0" borderId="0" xfId="0" applyFont="1" applyAlignment="1">
      <alignment horizontal="left"/>
    </xf>
    <xf numFmtId="0" fontId="71" fillId="0" borderId="5" xfId="0" applyFont="1" applyBorder="1" applyAlignment="1">
      <alignment horizontal="left"/>
    </xf>
    <xf numFmtId="0" fontId="71" fillId="61" borderId="0" xfId="0" applyFont="1" applyFill="1" applyAlignment="1">
      <alignment horizontal="left" vertical="center"/>
    </xf>
    <xf numFmtId="0" fontId="81" fillId="61" borderId="0" xfId="0" applyFont="1" applyFill="1" applyAlignment="1">
      <alignment horizontal="left" vertical="center"/>
    </xf>
    <xf numFmtId="0" fontId="81" fillId="61" borderId="0" xfId="0" applyFont="1" applyFill="1" applyAlignment="1">
      <alignment horizontal="left"/>
    </xf>
    <xf numFmtId="0" fontId="53" fillId="0" borderId="57" xfId="0" applyFont="1" applyBorder="1" applyAlignment="1">
      <alignment horizontal="left" vertical="center" wrapText="1"/>
    </xf>
    <xf numFmtId="0" fontId="71" fillId="0" borderId="60" xfId="0" applyFont="1" applyBorder="1" applyAlignment="1">
      <alignment horizontal="left" vertical="center" wrapText="1"/>
    </xf>
    <xf numFmtId="0" fontId="62" fillId="0" borderId="0" xfId="0" applyFont="1" applyAlignment="1">
      <alignment horizontal="left" vertical="center"/>
    </xf>
    <xf numFmtId="0" fontId="71" fillId="0" borderId="0" xfId="0" applyFont="1" applyAlignment="1">
      <alignment horizontal="left" vertical="center"/>
    </xf>
    <xf numFmtId="0" fontId="71" fillId="0" borderId="5" xfId="0" applyFont="1" applyBorder="1" applyAlignment="1">
      <alignment horizontal="left" vertical="center"/>
    </xf>
    <xf numFmtId="0" fontId="46" fillId="0" borderId="0" xfId="0" applyFont="1" applyAlignment="1">
      <alignment horizontal="left" vertical="center" wrapText="1"/>
    </xf>
    <xf numFmtId="0" fontId="53" fillId="0" borderId="58" xfId="0" applyFont="1" applyBorder="1" applyAlignment="1">
      <alignment horizontal="center" vertical="center" wrapText="1"/>
      <extLst>
        <ext xmlns:xfpb="http://schemas.microsoft.com/office/spreadsheetml/2022/featurepropertybag" uri="{C7286773-470A-42A8-94C5-96B5CB345126}">
          <xfpb:xfComplement i="0"/>
        </ext>
      </extLst>
    </xf>
    <xf numFmtId="0" fontId="53" fillId="0" borderId="57" xfId="0" applyFont="1" applyBorder="1" applyAlignment="1">
      <alignment horizontal="left" vertical="center" wrapText="1"/>
      <extLst>
        <ext xmlns:xfpb="http://schemas.microsoft.com/office/spreadsheetml/2022/featurepropertybag" uri="{C7286773-470A-42A8-94C5-96B5CB345126}">
          <xfpb:xfComplement i="0"/>
        </ext>
      </extLst>
    </xf>
    <xf numFmtId="0" fontId="46" fillId="0" borderId="0" xfId="0" applyFont="1" applyAlignment="1">
      <alignment vertical="center" wrapText="1"/>
    </xf>
    <xf numFmtId="0" fontId="57"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6" fillId="0" borderId="0" xfId="0" applyFont="1" applyAlignment="1">
      <alignment horizontal="center" vertical="center" wrapText="1"/>
    </xf>
    <xf numFmtId="0" fontId="85" fillId="61" borderId="10" xfId="0" applyFont="1" applyFill="1" applyBorder="1" applyAlignment="1">
      <alignment horizontal="center" vertical="center"/>
    </xf>
    <xf numFmtId="0" fontId="46" fillId="0" borderId="0" xfId="0" applyFont="1" applyAlignment="1">
      <alignment horizontal="center" vertical="center" wrapText="1"/>
    </xf>
    <xf numFmtId="0" fontId="57" fillId="0" borderId="56" xfId="0" applyFont="1" applyBorder="1" applyAlignment="1">
      <alignment vertical="center"/>
    </xf>
    <xf numFmtId="0" fontId="57" fillId="0" borderId="10" xfId="0" applyFont="1" applyBorder="1" applyAlignment="1">
      <alignment vertical="center"/>
    </xf>
    <xf numFmtId="0" fontId="91" fillId="0" borderId="52" xfId="0" applyFont="1" applyBorder="1" applyAlignment="1">
      <alignment vertical="center"/>
    </xf>
    <xf numFmtId="0" fontId="91" fillId="0" borderId="52" xfId="0" applyFont="1" applyBorder="1" applyAlignment="1">
      <alignment horizontal="center" vertical="center"/>
    </xf>
    <xf numFmtId="0" fontId="92" fillId="0" borderId="52" xfId="0" applyFont="1" applyBorder="1" applyAlignment="1">
      <alignment horizontal="center" vertical="center"/>
    </xf>
    <xf numFmtId="164" fontId="84" fillId="61" borderId="17" xfId="0" applyNumberFormat="1" applyFont="1" applyFill="1" applyBorder="1" applyAlignment="1">
      <alignment vertical="center"/>
    </xf>
    <xf numFmtId="0" fontId="53" fillId="0" borderId="8" xfId="0" applyFont="1" applyBorder="1" applyAlignment="1">
      <alignment horizontal="left" vertical="center"/>
    </xf>
    <xf numFmtId="0" fontId="71" fillId="0" borderId="60" xfId="0" applyFont="1" applyBorder="1" applyAlignment="1">
      <alignment vertical="center"/>
    </xf>
    <xf numFmtId="0" fontId="53" fillId="0" borderId="60" xfId="0" applyFont="1" applyBorder="1" applyAlignment="1">
      <alignment horizontal="center" vertical="center"/>
    </xf>
    <xf numFmtId="164" fontId="84" fillId="61" borderId="0" xfId="0" applyNumberFormat="1" applyFont="1" applyFill="1" applyAlignment="1">
      <alignment vertical="center"/>
    </xf>
    <xf numFmtId="0" fontId="76" fillId="0" borderId="0" xfId="0" applyFont="1" applyAlignment="1">
      <alignment horizontal="center" vertical="center" wrapText="1"/>
    </xf>
    <xf numFmtId="0" fontId="76" fillId="0" borderId="0" xfId="0" applyFont="1" applyAlignment="1">
      <alignment horizontal="left" vertical="center" wrapText="1"/>
    </xf>
    <xf numFmtId="0" fontId="85" fillId="61" borderId="56" xfId="0" applyFont="1" applyFill="1" applyBorder="1" applyAlignment="1">
      <alignment horizontal="center" vertical="center"/>
    </xf>
    <xf numFmtId="0" fontId="71" fillId="0" borderId="0" xfId="0" applyFont="1" applyAlignment="1">
      <alignment horizontal="left" vertical="center" wrapText="1"/>
    </xf>
    <xf numFmtId="0" fontId="84" fillId="61" borderId="23" xfId="0" applyFont="1" applyFill="1" applyBorder="1" applyAlignment="1">
      <alignment vertical="center"/>
    </xf>
    <xf numFmtId="0" fontId="53" fillId="4" borderId="56" xfId="0" applyFont="1" applyFill="1" applyBorder="1" applyProtection="1">
      <protection hidden="1"/>
    </xf>
    <xf numFmtId="0" fontId="84" fillId="61" borderId="60" xfId="0" applyFont="1" applyFill="1" applyBorder="1" applyAlignment="1">
      <alignment horizontal="center" vertical="center"/>
    </xf>
    <xf numFmtId="0" fontId="77" fillId="0" borderId="0" xfId="0" applyFont="1" applyAlignment="1">
      <alignment vertical="center"/>
    </xf>
    <xf numFmtId="0" fontId="57" fillId="0" borderId="0" xfId="0" applyFont="1" applyAlignment="1">
      <alignment vertical="center"/>
    </xf>
    <xf numFmtId="0" fontId="53" fillId="0" borderId="0" xfId="0" applyFont="1" applyAlignment="1">
      <alignment vertical="center"/>
    </xf>
    <xf numFmtId="0" fontId="7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xf numFmtId="0" fontId="53" fillId="0" borderId="58" xfId="0" applyFont="1" applyBorder="1" applyAlignment="1">
      <alignment horizontal="center" vertical="center"/>
    </xf>
    <xf numFmtId="0" fontId="53" fillId="0" borderId="18" xfId="0" applyFont="1" applyBorder="1" applyAlignment="1">
      <alignment horizontal="center" vertical="center"/>
    </xf>
    <xf numFmtId="9" fontId="57" fillId="0" borderId="62" xfId="591" applyFont="1" applyBorder="1" applyAlignment="1">
      <alignment horizontal="center" vertical="center"/>
    </xf>
    <xf numFmtId="0" fontId="57" fillId="61" borderId="0" xfId="0" applyFont="1" applyFill="1" applyAlignment="1">
      <alignment horizontal="left"/>
    </xf>
    <xf numFmtId="0" fontId="57" fillId="0" borderId="5" xfId="0" applyFont="1" applyBorder="1" applyAlignment="1">
      <alignment horizontal="left"/>
    </xf>
    <xf numFmtId="0" fontId="57" fillId="0" borderId="9" xfId="0" applyFont="1" applyBorder="1" applyAlignment="1">
      <alignment horizontal="left" vertical="center"/>
    </xf>
    <xf numFmtId="0" fontId="57" fillId="0" borderId="9" xfId="0" applyFont="1" applyBorder="1" applyAlignment="1">
      <alignment horizontal="left" vertical="center" wrapText="1"/>
    </xf>
    <xf numFmtId="0" fontId="57" fillId="0" borderId="12" xfId="0" applyFont="1" applyBorder="1" applyAlignment="1">
      <alignment horizontal="left" vertical="center" wrapText="1"/>
    </xf>
    <xf numFmtId="0" fontId="52" fillId="0" borderId="0" xfId="0" applyFont="1" applyAlignment="1">
      <alignment horizontal="left" vertical="center"/>
    </xf>
    <xf numFmtId="0" fontId="23" fillId="0" borderId="0" xfId="0" applyFont="1" applyAlignment="1">
      <alignment vertical="center" wrapText="1"/>
    </xf>
    <xf numFmtId="164" fontId="53" fillId="0" borderId="0" xfId="0" applyNumberFormat="1" applyFont="1" applyAlignment="1">
      <alignment horizontal="center" vertical="center"/>
    </xf>
    <xf numFmtId="164" fontId="65" fillId="0" borderId="23" xfId="0" applyNumberFormat="1" applyFont="1" applyBorder="1" applyAlignment="1">
      <alignment horizontal="center" vertical="center"/>
    </xf>
    <xf numFmtId="0" fontId="97" fillId="61" borderId="0" xfId="0" applyFont="1" applyFill="1"/>
    <xf numFmtId="0" fontId="76" fillId="0" borderId="60" xfId="0" applyFont="1" applyBorder="1" applyAlignment="1">
      <alignment vertical="center" wrapText="1"/>
    </xf>
    <xf numFmtId="0" fontId="76" fillId="0" borderId="0" xfId="0" applyFont="1" applyAlignment="1">
      <alignment vertical="center" wrapText="1"/>
    </xf>
    <xf numFmtId="0" fontId="23" fillId="0" borderId="0" xfId="0" applyFont="1" applyAlignment="1">
      <alignment wrapText="1"/>
    </xf>
    <xf numFmtId="0" fontId="99" fillId="0" borderId="0" xfId="0" applyFont="1" applyAlignment="1">
      <alignment horizontal="center" vertical="center" wrapText="1"/>
    </xf>
    <xf numFmtId="0" fontId="99" fillId="0" borderId="0" xfId="0" applyFont="1" applyAlignment="1">
      <alignment horizontal="center" vertical="center"/>
    </xf>
    <xf numFmtId="0" fontId="23" fillId="0" borderId="0" xfId="0" applyFont="1" applyAlignment="1">
      <alignment horizontal="center" vertical="center" wrapText="1"/>
    </xf>
    <xf numFmtId="0" fontId="99" fillId="62" borderId="0" xfId="0" applyFont="1" applyFill="1" applyAlignment="1">
      <alignment horizontal="left" vertical="center" wrapText="1"/>
    </xf>
    <xf numFmtId="0" fontId="23" fillId="0" borderId="0" xfId="0" applyFont="1" applyAlignment="1">
      <alignment horizontal="left" vertical="center" wrapText="1"/>
    </xf>
    <xf numFmtId="0" fontId="23" fillId="64" borderId="0" xfId="0" applyFont="1" applyFill="1" applyAlignment="1">
      <alignment horizontal="left" vertical="center" wrapText="1"/>
    </xf>
    <xf numFmtId="0" fontId="20" fillId="0" borderId="0" xfId="0" applyFont="1" applyAlignment="1">
      <alignment horizontal="left" vertical="center" wrapText="1"/>
    </xf>
    <xf numFmtId="0" fontId="23" fillId="0" borderId="0" xfId="0" applyFont="1" applyAlignment="1">
      <alignment horizontal="left" vertical="center"/>
    </xf>
    <xf numFmtId="0" fontId="100" fillId="0" borderId="0" xfId="592" applyFont="1" applyAlignment="1">
      <alignment horizontal="left" vertical="center" wrapText="1"/>
    </xf>
    <xf numFmtId="0" fontId="23" fillId="64" borderId="57" xfId="0" applyFont="1" applyFill="1" applyBorder="1" applyAlignment="1">
      <alignment horizontal="left" vertical="center" wrapText="1"/>
    </xf>
    <xf numFmtId="0" fontId="23" fillId="64" borderId="58" xfId="0" applyFont="1" applyFill="1" applyBorder="1" applyAlignment="1">
      <alignment horizontal="left" vertical="center" wrapText="1"/>
    </xf>
    <xf numFmtId="0" fontId="100" fillId="0" borderId="0" xfId="592" applyFont="1" applyAlignment="1">
      <alignment horizontal="left" vertical="center"/>
    </xf>
    <xf numFmtId="0" fontId="23" fillId="61" borderId="0" xfId="0" applyFont="1" applyFill="1" applyAlignment="1">
      <alignment horizontal="left" vertical="center" wrapText="1"/>
    </xf>
    <xf numFmtId="0" fontId="23" fillId="64" borderId="0" xfId="0" applyFont="1" applyFill="1" applyAlignment="1">
      <alignment vertical="center" wrapText="1"/>
    </xf>
    <xf numFmtId="0" fontId="23" fillId="63" borderId="0" xfId="0" applyFont="1" applyFill="1" applyAlignment="1">
      <alignment horizontal="left" vertical="center" wrapText="1"/>
    </xf>
    <xf numFmtId="0" fontId="23" fillId="0" borderId="0" xfId="0" applyFont="1"/>
    <xf numFmtId="0" fontId="23" fillId="64" borderId="0" xfId="0" applyFont="1" applyFill="1" applyAlignment="1">
      <alignment wrapText="1"/>
    </xf>
    <xf numFmtId="0" fontId="23" fillId="63" borderId="0" xfId="0" applyFont="1" applyFill="1"/>
    <xf numFmtId="0" fontId="23" fillId="0" borderId="0" xfId="0" applyFont="1" applyAlignment="1">
      <alignment vertical="center"/>
    </xf>
    <xf numFmtId="0" fontId="23" fillId="63" borderId="0" xfId="0" applyFont="1" applyFill="1" applyAlignment="1">
      <alignment vertical="center" wrapText="1"/>
    </xf>
    <xf numFmtId="0" fontId="92" fillId="0" borderId="81" xfId="0" applyFont="1" applyBorder="1" applyAlignment="1">
      <alignment horizontal="left"/>
    </xf>
    <xf numFmtId="9" fontId="92" fillId="0" borderId="80" xfId="591" applyFont="1" applyBorder="1" applyAlignment="1">
      <alignment horizontal="center" vertical="center"/>
    </xf>
    <xf numFmtId="9" fontId="57" fillId="0" borderId="0" xfId="591" applyFont="1" applyBorder="1" applyAlignment="1">
      <alignment horizontal="center" vertical="center"/>
    </xf>
    <xf numFmtId="0" fontId="57" fillId="0" borderId="60" xfId="0" applyFont="1" applyBorder="1" applyAlignment="1">
      <alignment vertical="center" wrapText="1"/>
    </xf>
    <xf numFmtId="0" fontId="52" fillId="0" borderId="8" xfId="0" applyFont="1" applyBorder="1" applyAlignment="1">
      <alignment horizontal="center" vertical="center"/>
    </xf>
    <xf numFmtId="0" fontId="53" fillId="0" borderId="13" xfId="0" applyFont="1" applyBorder="1" applyAlignment="1">
      <alignment horizontal="center" vertical="center"/>
    </xf>
    <xf numFmtId="0" fontId="53" fillId="0" borderId="8" xfId="0" applyFont="1" applyBorder="1" applyAlignment="1">
      <alignment horizontal="center" vertical="center"/>
    </xf>
    <xf numFmtId="0" fontId="102" fillId="61" borderId="0" xfId="0" applyFont="1" applyFill="1"/>
    <xf numFmtId="0" fontId="76" fillId="0" borderId="0" xfId="0" applyFont="1"/>
    <xf numFmtId="0" fontId="102" fillId="0" borderId="0" xfId="0" applyFont="1"/>
    <xf numFmtId="0" fontId="102" fillId="0" borderId="5" xfId="0" applyFont="1" applyBorder="1"/>
    <xf numFmtId="0" fontId="53" fillId="0" borderId="3" xfId="0" applyFont="1" applyBorder="1"/>
    <xf numFmtId="0" fontId="97" fillId="0" borderId="13" xfId="0" applyFont="1" applyBorder="1"/>
    <xf numFmtId="0" fontId="97" fillId="0" borderId="8" xfId="0" applyFont="1" applyBorder="1"/>
    <xf numFmtId="0" fontId="53" fillId="0" borderId="13" xfId="0" applyFont="1" applyBorder="1" applyAlignment="1">
      <alignment horizontal="left" vertical="center"/>
    </xf>
    <xf numFmtId="0" fontId="99" fillId="0" borderId="0" xfId="0" applyFont="1"/>
    <xf numFmtId="0" fontId="23" fillId="0" borderId="0" xfId="0" applyFont="1" applyAlignment="1">
      <alignment horizontal="center" vertical="center"/>
    </xf>
    <xf numFmtId="9" fontId="23" fillId="0" borderId="0" xfId="591" applyFont="1" applyAlignment="1">
      <alignment horizontal="center" vertical="center"/>
    </xf>
    <xf numFmtId="1" fontId="23" fillId="0" borderId="0" xfId="0" applyNumberFormat="1" applyFont="1" applyAlignment="1">
      <alignment horizontal="center" vertical="center"/>
    </xf>
    <xf numFmtId="1" fontId="23" fillId="0" borderId="0" xfId="0" applyNumberFormat="1" applyFont="1"/>
    <xf numFmtId="2" fontId="23" fillId="0" borderId="0" xfId="0" applyNumberFormat="1" applyFont="1" applyAlignment="1">
      <alignment horizontal="center" vertical="center"/>
    </xf>
    <xf numFmtId="0" fontId="23" fillId="0" borderId="0" xfId="0" applyFont="1" applyAlignment="1">
      <alignment horizontal="center"/>
    </xf>
    <xf numFmtId="9" fontId="23" fillId="0" borderId="0" xfId="591" applyFont="1" applyAlignment="1">
      <alignment horizontal="center"/>
    </xf>
    <xf numFmtId="1" fontId="23" fillId="0" borderId="0" xfId="0" applyNumberFormat="1" applyFont="1" applyAlignment="1">
      <alignment horizontal="center"/>
    </xf>
    <xf numFmtId="0" fontId="23" fillId="0" borderId="0" xfId="0" applyFont="1" applyAlignment="1">
      <alignment horizontal="left"/>
    </xf>
    <xf numFmtId="0" fontId="53" fillId="0" borderId="0" xfId="0" applyFont="1" applyAlignment="1">
      <alignment horizontal="center"/>
    </xf>
    <xf numFmtId="0" fontId="96" fillId="0" borderId="0" xfId="0" applyFont="1" applyAlignment="1">
      <alignment vertical="center"/>
    </xf>
    <xf numFmtId="0" fontId="97" fillId="0" borderId="0" xfId="0" applyFont="1"/>
    <xf numFmtId="0" fontId="52" fillId="0" borderId="0" xfId="0" applyFont="1" applyAlignment="1">
      <alignment vertical="center"/>
    </xf>
    <xf numFmtId="0" fontId="52" fillId="0" borderId="0" xfId="0" applyFont="1"/>
    <xf numFmtId="0" fontId="85" fillId="61" borderId="20" xfId="0" applyFont="1" applyFill="1" applyBorder="1" applyAlignment="1">
      <alignment horizontal="left" vertical="center"/>
    </xf>
    <xf numFmtId="0" fontId="84" fillId="61" borderId="10" xfId="0" applyFont="1" applyFill="1" applyBorder="1" applyAlignment="1">
      <alignment horizontal="left" vertical="center"/>
    </xf>
    <xf numFmtId="0" fontId="53" fillId="61" borderId="0" xfId="0" applyFont="1" applyFill="1" applyAlignment="1">
      <alignment horizontal="left"/>
    </xf>
    <xf numFmtId="0" fontId="53" fillId="0" borderId="63" xfId="0" applyFont="1" applyBorder="1" applyAlignment="1">
      <alignment vertical="center" wrapText="1"/>
    </xf>
    <xf numFmtId="0" fontId="20" fillId="0" borderId="0" xfId="0" applyFont="1" applyAlignment="1">
      <alignment wrapText="1"/>
    </xf>
    <xf numFmtId="0" fontId="57" fillId="0" borderId="56" xfId="0" applyFont="1" applyBorder="1" applyAlignment="1">
      <alignment horizontal="center" vertical="center" wrapText="1"/>
    </xf>
    <xf numFmtId="0" fontId="53" fillId="0" borderId="16" xfId="0" applyFont="1" applyBorder="1" applyAlignment="1">
      <alignment horizontal="center" vertical="center"/>
    </xf>
    <xf numFmtId="0" fontId="53" fillId="0" borderId="57" xfId="0" applyFont="1" applyBorder="1" applyAlignment="1">
      <alignment horizontal="center" vertical="center"/>
    </xf>
    <xf numFmtId="0" fontId="53" fillId="0" borderId="63" xfId="0" applyFont="1" applyBorder="1" applyAlignment="1">
      <alignment horizontal="center" vertical="center"/>
    </xf>
    <xf numFmtId="0" fontId="73" fillId="0" borderId="0" xfId="0" applyFont="1" applyAlignment="1">
      <alignment vertical="center"/>
    </xf>
    <xf numFmtId="9" fontId="53" fillId="0" borderId="0" xfId="0" applyNumberFormat="1" applyFont="1" applyAlignment="1">
      <alignment horizontal="center" vertical="center"/>
    </xf>
    <xf numFmtId="0" fontId="53" fillId="0" borderId="17" xfId="0" applyFont="1" applyBorder="1" applyAlignment="1">
      <alignment horizontal="center" vertical="center"/>
    </xf>
    <xf numFmtId="9" fontId="53" fillId="0" borderId="9" xfId="0" applyNumberFormat="1" applyFont="1" applyBorder="1" applyAlignment="1">
      <alignment horizontal="center" vertical="center"/>
    </xf>
    <xf numFmtId="0" fontId="53" fillId="0" borderId="9" xfId="0" applyFont="1" applyBorder="1" applyAlignment="1">
      <alignment horizontal="center" vertical="center"/>
    </xf>
    <xf numFmtId="0" fontId="53" fillId="0" borderId="19" xfId="0" applyFont="1" applyBorder="1" applyAlignment="1">
      <alignment horizontal="center" vertical="center"/>
    </xf>
    <xf numFmtId="0" fontId="94" fillId="0" borderId="0" xfId="0" applyFont="1" applyAlignment="1">
      <alignment vertical="center" wrapText="1"/>
    </xf>
    <xf numFmtId="0" fontId="52" fillId="0" borderId="13" xfId="0" applyFont="1" applyBorder="1" applyAlignment="1">
      <alignment horizontal="left" vertical="center"/>
    </xf>
    <xf numFmtId="0" fontId="52" fillId="0" borderId="6" xfId="0" applyFont="1" applyBorder="1" applyAlignment="1">
      <alignment horizontal="center" vertical="center"/>
    </xf>
    <xf numFmtId="0" fontId="93" fillId="0" borderId="0" xfId="592" applyAlignment="1">
      <alignment horizontal="left" vertical="center"/>
    </xf>
    <xf numFmtId="0" fontId="93" fillId="0" borderId="0" xfId="592" applyAlignment="1">
      <alignment horizontal="left" vertical="center" wrapText="1"/>
    </xf>
    <xf numFmtId="0" fontId="53" fillId="0" borderId="56" xfId="0" applyFont="1" applyBorder="1" applyAlignment="1">
      <alignment horizontal="left" vertical="center" wrapText="1"/>
    </xf>
    <xf numFmtId="0" fontId="53" fillId="0" borderId="9" xfId="0" applyFont="1" applyBorder="1" applyAlignment="1">
      <alignment horizontal="left" vertical="center"/>
    </xf>
    <xf numFmtId="0" fontId="53" fillId="0" borderId="62" xfId="0" applyFont="1" applyBorder="1" applyAlignment="1">
      <alignment horizontal="left" vertical="center" wrapText="1"/>
    </xf>
    <xf numFmtId="0" fontId="53" fillId="0" borderId="93" xfId="0" applyFont="1" applyBorder="1" applyAlignment="1">
      <alignment horizontal="center" vertical="center"/>
    </xf>
    <xf numFmtId="0" fontId="53" fillId="0" borderId="71" xfId="0" applyFont="1" applyBorder="1" applyAlignment="1">
      <alignment horizontal="center" vertical="center"/>
    </xf>
    <xf numFmtId="0" fontId="53" fillId="0" borderId="60" xfId="0" applyFont="1" applyBorder="1" applyAlignment="1">
      <alignment horizontal="left" vertical="center"/>
    </xf>
    <xf numFmtId="0" fontId="53" fillId="0" borderId="10" xfId="0" applyFont="1" applyBorder="1" applyAlignment="1">
      <alignment horizontal="left" vertical="center" wrapText="1"/>
    </xf>
    <xf numFmtId="0" fontId="0" fillId="61" borderId="0" xfId="0" applyFill="1" applyAlignment="1">
      <alignment horizontal="center" vertical="center"/>
    </xf>
    <xf numFmtId="0" fontId="108" fillId="66" borderId="99" xfId="0" applyFont="1" applyFill="1" applyBorder="1" applyAlignment="1">
      <alignment horizontal="center" vertical="center" wrapText="1"/>
    </xf>
    <xf numFmtId="0" fontId="53" fillId="0" borderId="93" xfId="0" applyFont="1" applyBorder="1" applyAlignment="1">
      <alignment horizontal="left" vertical="center"/>
    </xf>
    <xf numFmtId="0" fontId="53" fillId="0" borderId="71" xfId="0" applyFont="1" applyBorder="1" applyAlignment="1">
      <alignment horizontal="left" vertical="center"/>
    </xf>
    <xf numFmtId="0" fontId="109" fillId="66" borderId="82" xfId="0" applyFont="1" applyFill="1" applyBorder="1" applyAlignment="1">
      <alignment horizontal="center" vertical="center"/>
    </xf>
    <xf numFmtId="0" fontId="109" fillId="66" borderId="83" xfId="0" applyFont="1" applyFill="1" applyBorder="1" applyAlignment="1">
      <alignment horizontal="center" vertical="center"/>
    </xf>
    <xf numFmtId="0" fontId="110" fillId="0" borderId="56" xfId="592" applyFont="1" applyBorder="1" applyAlignment="1">
      <alignment horizontal="left" vertical="center" wrapText="1"/>
    </xf>
    <xf numFmtId="0" fontId="110" fillId="0" borderId="18" xfId="592" applyFont="1" applyBorder="1" applyAlignment="1">
      <alignment horizontal="left" vertical="center" wrapText="1"/>
    </xf>
    <xf numFmtId="0" fontId="110" fillId="0" borderId="62" xfId="592" applyFont="1" applyBorder="1" applyAlignment="1">
      <alignment horizontal="left" vertical="center" wrapText="1"/>
    </xf>
    <xf numFmtId="0" fontId="110" fillId="0" borderId="10" xfId="592" applyFont="1" applyBorder="1" applyAlignment="1">
      <alignment horizontal="left" vertical="center" wrapText="1"/>
    </xf>
    <xf numFmtId="0" fontId="110" fillId="0" borderId="62" xfId="592" applyFont="1" applyBorder="1" applyAlignment="1">
      <alignment vertical="center" wrapText="1"/>
    </xf>
    <xf numFmtId="0" fontId="110" fillId="0" borderId="86" xfId="592" applyFont="1" applyBorder="1" applyAlignment="1">
      <alignment horizontal="left" vertical="center" wrapText="1"/>
    </xf>
    <xf numFmtId="0" fontId="110" fillId="0" borderId="87" xfId="592" applyFont="1" applyBorder="1" applyAlignment="1">
      <alignment horizontal="left" vertical="center" wrapText="1"/>
    </xf>
    <xf numFmtId="0" fontId="110" fillId="0" borderId="60" xfId="592" applyFont="1" applyBorder="1" applyAlignment="1">
      <alignment horizontal="left" vertical="center" wrapText="1"/>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52" fillId="0" borderId="97" xfId="0" applyFont="1" applyBorder="1" applyAlignment="1">
      <alignment horizontal="left" vertical="center"/>
    </xf>
    <xf numFmtId="0" fontId="52" fillId="0" borderId="98" xfId="0" applyFont="1" applyBorder="1" applyAlignment="1">
      <alignment horizontal="left" vertical="center"/>
    </xf>
    <xf numFmtId="0" fontId="105" fillId="0" borderId="0" xfId="0" applyFont="1" applyAlignment="1">
      <alignment horizontal="left" vertical="center"/>
    </xf>
    <xf numFmtId="0" fontId="53" fillId="0" borderId="100" xfId="0" applyFont="1" applyBorder="1" applyAlignment="1">
      <alignment horizontal="center" vertical="center"/>
    </xf>
    <xf numFmtId="0" fontId="52" fillId="0" borderId="60" xfId="0" applyFont="1" applyBorder="1" applyAlignment="1">
      <alignment horizontal="center" vertical="center"/>
    </xf>
    <xf numFmtId="0" fontId="95" fillId="0" borderId="16" xfId="0" applyFont="1" applyBorder="1" applyAlignment="1">
      <alignment horizontal="center" vertical="center"/>
    </xf>
    <xf numFmtId="0" fontId="95" fillId="0" borderId="0" xfId="0" applyFont="1" applyAlignment="1">
      <alignment horizontal="left" vertical="center"/>
    </xf>
    <xf numFmtId="164" fontId="53" fillId="0" borderId="9" xfId="0" applyNumberFormat="1" applyFont="1" applyBorder="1" applyAlignment="1">
      <alignment horizontal="center" vertical="center"/>
    </xf>
    <xf numFmtId="164" fontId="65" fillId="0" borderId="0" xfId="0" applyNumberFormat="1" applyFont="1" applyAlignment="1">
      <alignment horizontal="center" vertical="center"/>
    </xf>
    <xf numFmtId="1" fontId="65" fillId="0" borderId="0" xfId="0" applyNumberFormat="1" applyFont="1" applyAlignment="1">
      <alignment horizontal="center" vertical="center"/>
    </xf>
    <xf numFmtId="2" fontId="53" fillId="0" borderId="0" xfId="0" applyNumberFormat="1" applyFont="1" applyAlignment="1">
      <alignment horizontal="center" vertical="center"/>
    </xf>
    <xf numFmtId="0" fontId="95" fillId="0" borderId="18" xfId="0" applyFont="1" applyBorder="1" applyAlignment="1">
      <alignment horizontal="center" vertical="center"/>
    </xf>
    <xf numFmtId="0" fontId="95" fillId="0" borderId="9" xfId="0" applyFont="1" applyBorder="1" applyAlignment="1">
      <alignment horizontal="left" vertical="center"/>
    </xf>
    <xf numFmtId="2" fontId="53" fillId="0" borderId="9" xfId="0" applyNumberFormat="1" applyFont="1" applyBorder="1" applyAlignment="1">
      <alignment horizontal="center" vertical="center"/>
    </xf>
    <xf numFmtId="0" fontId="84" fillId="61" borderId="59" xfId="0" applyFont="1" applyFill="1" applyBorder="1"/>
    <xf numFmtId="0" fontId="84" fillId="61" borderId="60" xfId="0" applyFont="1" applyFill="1" applyBorder="1"/>
    <xf numFmtId="1" fontId="84" fillId="61" borderId="61" xfId="0" applyNumberFormat="1" applyFont="1" applyFill="1" applyBorder="1"/>
    <xf numFmtId="1" fontId="84" fillId="61" borderId="17" xfId="0" applyNumberFormat="1" applyFont="1" applyFill="1" applyBorder="1"/>
    <xf numFmtId="0" fontId="84" fillId="61" borderId="18" xfId="0" applyFont="1" applyFill="1" applyBorder="1"/>
    <xf numFmtId="0" fontId="84" fillId="61" borderId="9" xfId="0" applyFont="1" applyFill="1" applyBorder="1"/>
    <xf numFmtId="1" fontId="84" fillId="61" borderId="19" xfId="0" applyNumberFormat="1" applyFont="1" applyFill="1" applyBorder="1"/>
    <xf numFmtId="0" fontId="84" fillId="61" borderId="61" xfId="0" applyFont="1" applyFill="1" applyBorder="1"/>
    <xf numFmtId="0" fontId="84" fillId="61" borderId="23" xfId="0" applyFont="1" applyFill="1" applyBorder="1"/>
    <xf numFmtId="1" fontId="84" fillId="61" borderId="23" xfId="0" applyNumberFormat="1" applyFont="1" applyFill="1" applyBorder="1"/>
    <xf numFmtId="0" fontId="113" fillId="0" borderId="21" xfId="592" applyFont="1" applyBorder="1" applyAlignment="1">
      <alignment horizontal="left" vertical="center" wrapText="1"/>
    </xf>
    <xf numFmtId="0" fontId="113" fillId="0" borderId="96" xfId="592" applyFont="1" applyBorder="1" applyAlignment="1">
      <alignment horizontal="left" vertical="center" wrapText="1"/>
    </xf>
    <xf numFmtId="0" fontId="84" fillId="61" borderId="62" xfId="0" applyFont="1" applyFill="1" applyBorder="1" applyAlignment="1">
      <alignment horizontal="center" vertical="center"/>
    </xf>
    <xf numFmtId="9" fontId="84" fillId="61" borderId="10" xfId="0" applyNumberFormat="1" applyFont="1" applyFill="1" applyBorder="1" applyAlignment="1">
      <alignment horizontal="center" vertical="center"/>
    </xf>
    <xf numFmtId="0" fontId="53" fillId="0" borderId="56" xfId="0" applyFont="1" applyBorder="1" applyAlignment="1">
      <alignment horizontal="center" vertical="center"/>
    </xf>
    <xf numFmtId="0" fontId="52" fillId="0" borderId="56" xfId="0" applyFont="1" applyBorder="1" applyAlignment="1">
      <alignment horizontal="center" vertical="center"/>
    </xf>
    <xf numFmtId="1" fontId="53" fillId="0" borderId="56" xfId="0" applyNumberFormat="1" applyFont="1" applyBorder="1" applyAlignment="1">
      <alignment horizontal="center" vertical="center"/>
    </xf>
    <xf numFmtId="164" fontId="53" fillId="0" borderId="56" xfId="0" applyNumberFormat="1" applyFont="1" applyBorder="1" applyAlignment="1">
      <alignment horizontal="center" vertical="center"/>
    </xf>
    <xf numFmtId="2" fontId="53" fillId="0" borderId="56" xfId="0" applyNumberFormat="1" applyFont="1" applyBorder="1" applyAlignment="1">
      <alignment horizontal="center" vertical="center"/>
    </xf>
    <xf numFmtId="0" fontId="73" fillId="0" borderId="0" xfId="0" applyFont="1" applyAlignment="1">
      <alignment horizontal="center" vertical="center"/>
    </xf>
    <xf numFmtId="0" fontId="23" fillId="70" borderId="0" xfId="0" applyFont="1" applyFill="1" applyAlignment="1">
      <alignment horizontal="left" vertical="center" wrapText="1"/>
    </xf>
    <xf numFmtId="0" fontId="52" fillId="70" borderId="0" xfId="0" applyFont="1" applyFill="1" applyAlignment="1">
      <alignment horizontal="left" vertical="center" wrapText="1"/>
    </xf>
    <xf numFmtId="0" fontId="81" fillId="70" borderId="0" xfId="0" applyFont="1" applyFill="1" applyAlignment="1">
      <alignment horizontal="left" vertical="center" wrapText="1"/>
    </xf>
    <xf numFmtId="0" fontId="52" fillId="0" borderId="4" xfId="0" applyFont="1" applyBorder="1" applyAlignment="1">
      <alignment horizontal="center" vertical="center"/>
    </xf>
    <xf numFmtId="0" fontId="53" fillId="0" borderId="1" xfId="0" applyFont="1" applyBorder="1" applyAlignment="1">
      <alignment horizontal="left" vertical="center"/>
    </xf>
    <xf numFmtId="0" fontId="53" fillId="0" borderId="3" xfId="0" applyFont="1" applyBorder="1" applyAlignment="1">
      <alignment horizontal="left" vertical="center"/>
    </xf>
    <xf numFmtId="0" fontId="52" fillId="0" borderId="63" xfId="0" applyFont="1" applyBorder="1" applyAlignment="1">
      <alignment horizontal="left" vertical="center"/>
    </xf>
    <xf numFmtId="0" fontId="52" fillId="0" borderId="103" xfId="0" applyFont="1" applyBorder="1" applyAlignment="1">
      <alignment horizontal="left" vertical="center"/>
    </xf>
    <xf numFmtId="0" fontId="52" fillId="0" borderId="9" xfId="0" applyFont="1" applyBorder="1" applyAlignment="1">
      <alignment horizontal="center" vertical="center"/>
    </xf>
    <xf numFmtId="9" fontId="53" fillId="0" borderId="56" xfId="591" applyFont="1" applyBorder="1" applyAlignment="1">
      <alignment horizontal="center" vertical="center"/>
    </xf>
    <xf numFmtId="0" fontId="53" fillId="0" borderId="11" xfId="0" applyFont="1" applyBorder="1" applyAlignment="1">
      <alignment horizontal="left"/>
    </xf>
    <xf numFmtId="0" fontId="53" fillId="0" borderId="22" xfId="0" applyFont="1" applyBorder="1" applyAlignment="1">
      <alignment horizontal="left"/>
    </xf>
    <xf numFmtId="0" fontId="57" fillId="0" borderId="58" xfId="0" applyFont="1" applyBorder="1" applyAlignment="1">
      <alignment horizontal="center" vertical="center"/>
      <extLst>
        <ext xmlns:xfpb="http://schemas.microsoft.com/office/spreadsheetml/2022/featurepropertybag" uri="{C7286773-470A-42A8-94C5-96B5CB345126}">
          <xfpb:xfComplement i="0"/>
        </ext>
      </extLst>
    </xf>
    <xf numFmtId="0" fontId="53" fillId="0" borderId="101" xfId="0" applyFont="1" applyBorder="1" applyAlignment="1">
      <alignment horizontal="center" vertical="center" wrapText="1"/>
    </xf>
    <xf numFmtId="0" fontId="52" fillId="0" borderId="9" xfId="0" applyFont="1" applyBorder="1" applyAlignment="1">
      <alignment horizontal="left" vertical="center"/>
    </xf>
    <xf numFmtId="1" fontId="53" fillId="0" borderId="9" xfId="0" applyNumberFormat="1" applyFont="1" applyBorder="1" applyAlignment="1">
      <alignment horizontal="center" vertical="center"/>
    </xf>
    <xf numFmtId="1" fontId="65" fillId="0" borderId="23" xfId="0" applyNumberFormat="1" applyFont="1" applyBorder="1" applyAlignment="1">
      <alignment horizontal="center" vertical="center"/>
    </xf>
    <xf numFmtId="0" fontId="52" fillId="0" borderId="71" xfId="0" applyFont="1" applyBorder="1" applyAlignment="1">
      <alignment horizontal="center" vertical="center"/>
    </xf>
    <xf numFmtId="0" fontId="53" fillId="0" borderId="88" xfId="0" applyFont="1" applyBorder="1" applyAlignment="1">
      <alignment horizontal="center" vertical="center"/>
    </xf>
    <xf numFmtId="0" fontId="53" fillId="0" borderId="89" xfId="0" applyFont="1" applyBorder="1" applyAlignment="1">
      <alignment horizontal="center" vertical="center"/>
    </xf>
    <xf numFmtId="0" fontId="52" fillId="0" borderId="13" xfId="0" applyFont="1" applyBorder="1" applyAlignment="1">
      <alignment horizontal="center" vertical="center"/>
    </xf>
    <xf numFmtId="0" fontId="53" fillId="0" borderId="92" xfId="0" applyFont="1" applyBorder="1" applyAlignment="1">
      <alignment horizontal="left" vertical="center"/>
    </xf>
    <xf numFmtId="0" fontId="53" fillId="62" borderId="70" xfId="0" applyFont="1" applyFill="1" applyBorder="1" applyAlignment="1">
      <alignment horizontal="left" vertical="center"/>
    </xf>
    <xf numFmtId="0" fontId="53" fillId="0" borderId="70" xfId="0" applyFont="1" applyBorder="1" applyAlignment="1">
      <alignment horizontal="left" vertical="center"/>
    </xf>
    <xf numFmtId="0" fontId="52" fillId="0" borderId="97" xfId="0" applyFont="1" applyBorder="1" applyAlignment="1">
      <alignment horizontal="center" vertical="center"/>
    </xf>
    <xf numFmtId="0" fontId="52" fillId="0" borderId="95" xfId="0" applyFont="1" applyBorder="1" applyAlignment="1">
      <alignment horizontal="center" vertical="center"/>
    </xf>
    <xf numFmtId="0" fontId="53" fillId="0" borderId="104" xfId="0" applyFont="1" applyBorder="1" applyAlignment="1">
      <alignment horizontal="left" vertical="center" wrapText="1"/>
    </xf>
    <xf numFmtId="0" fontId="53" fillId="0" borderId="1" xfId="0" applyFont="1" applyBorder="1" applyAlignment="1">
      <alignment horizontal="center" vertical="center"/>
    </xf>
    <xf numFmtId="0" fontId="53" fillId="0" borderId="70" xfId="0" applyFont="1" applyBorder="1" applyAlignment="1">
      <alignment horizontal="center" vertical="center"/>
    </xf>
    <xf numFmtId="0" fontId="53" fillId="0" borderId="92" xfId="0" applyFont="1" applyBorder="1" applyAlignment="1">
      <alignment horizontal="center" vertical="center"/>
    </xf>
    <xf numFmtId="0" fontId="52" fillId="0" borderId="70" xfId="0" applyFont="1" applyBorder="1" applyAlignment="1">
      <alignment horizontal="center" vertical="center"/>
    </xf>
    <xf numFmtId="0" fontId="52" fillId="0" borderId="95" xfId="0" applyFont="1" applyBorder="1" applyAlignment="1">
      <alignment horizontal="left" vertical="center"/>
    </xf>
    <xf numFmtId="0" fontId="53" fillId="62" borderId="13" xfId="0" applyFont="1" applyFill="1" applyBorder="1" applyAlignment="1">
      <alignment horizontal="left" vertical="center"/>
    </xf>
    <xf numFmtId="0" fontId="53" fillId="0" borderId="56" xfId="0" applyFont="1" applyBorder="1" applyAlignment="1">
      <alignment horizontal="left" vertical="center"/>
    </xf>
    <xf numFmtId="0" fontId="52" fillId="0" borderId="56" xfId="0" applyFont="1" applyBorder="1" applyAlignment="1">
      <alignment horizontal="center"/>
    </xf>
    <xf numFmtId="0" fontId="53" fillId="0" borderId="0" xfId="0" applyFont="1" applyAlignment="1">
      <alignment vertical="top" wrapText="1"/>
    </xf>
    <xf numFmtId="0" fontId="84" fillId="61" borderId="56" xfId="0" applyFont="1" applyFill="1" applyBorder="1" applyAlignment="1">
      <alignment horizontal="left" vertical="center"/>
    </xf>
    <xf numFmtId="0" fontId="78" fillId="0" borderId="0" xfId="0" applyFont="1" applyAlignment="1">
      <alignment horizontal="center" vertical="center" wrapText="1"/>
    </xf>
    <xf numFmtId="0" fontId="53" fillId="0" borderId="56" xfId="0" applyFont="1" applyBorder="1" applyAlignment="1">
      <alignment vertical="center" wrapText="1"/>
    </xf>
    <xf numFmtId="0" fontId="116" fillId="0" borderId="56" xfId="0" applyFont="1" applyBorder="1" applyAlignment="1">
      <alignment horizontal="center" vertical="center" wrapText="1"/>
    </xf>
    <xf numFmtId="0" fontId="116" fillId="0" borderId="7" xfId="0" applyFont="1" applyBorder="1" applyAlignment="1">
      <alignment horizontal="center" vertical="center"/>
    </xf>
    <xf numFmtId="0" fontId="53" fillId="61" borderId="106" xfId="0" applyFont="1" applyFill="1" applyBorder="1"/>
    <xf numFmtId="0" fontId="53" fillId="61" borderId="107" xfId="0" applyFont="1" applyFill="1" applyBorder="1"/>
    <xf numFmtId="0" fontId="53" fillId="61" borderId="8" xfId="0" applyFont="1" applyFill="1" applyBorder="1"/>
    <xf numFmtId="0" fontId="49" fillId="2" borderId="1" xfId="0" applyFont="1" applyFill="1" applyBorder="1" applyAlignment="1" applyProtection="1">
      <alignment horizontal="center" vertical="center" wrapText="1"/>
      <protection hidden="1"/>
    </xf>
    <xf numFmtId="0" fontId="49" fillId="2" borderId="2" xfId="0" applyFont="1" applyFill="1" applyBorder="1" applyAlignment="1" applyProtection="1">
      <alignment horizontal="center" vertical="center" wrapText="1"/>
      <protection hidden="1"/>
    </xf>
    <xf numFmtId="0" fontId="49" fillId="2" borderId="3" xfId="0" applyFont="1" applyFill="1" applyBorder="1" applyAlignment="1" applyProtection="1">
      <alignment horizontal="center" vertical="center" wrapText="1"/>
      <protection hidden="1"/>
    </xf>
    <xf numFmtId="0" fontId="51" fillId="2" borderId="0" xfId="0" applyFont="1" applyFill="1" applyProtection="1">
      <protection locked="0"/>
    </xf>
    <xf numFmtId="0" fontId="49" fillId="2" borderId="0" xfId="0" applyFont="1" applyFill="1"/>
    <xf numFmtId="0" fontId="45" fillId="2" borderId="0" xfId="0" applyFont="1" applyFill="1"/>
    <xf numFmtId="0" fontId="46" fillId="2" borderId="0" xfId="0" applyFont="1" applyFill="1" applyAlignment="1">
      <alignment vertical="center" wrapText="1"/>
    </xf>
    <xf numFmtId="0" fontId="46" fillId="2" borderId="0" xfId="0" applyFont="1" applyFill="1" applyAlignment="1">
      <alignment vertical="top" wrapText="1"/>
    </xf>
    <xf numFmtId="0" fontId="0" fillId="2" borderId="0" xfId="0" applyFill="1"/>
    <xf numFmtId="0" fontId="71" fillId="0" borderId="104" xfId="0" applyFont="1" applyBorder="1" applyAlignment="1">
      <alignment horizontal="left" vertical="center" wrapText="1"/>
    </xf>
    <xf numFmtId="0" fontId="45" fillId="61" borderId="17" xfId="0" applyFont="1" applyFill="1" applyBorder="1"/>
    <xf numFmtId="0" fontId="53" fillId="0" borderId="65" xfId="0" applyFont="1" applyBorder="1" applyAlignment="1">
      <alignment horizontal="center" vertical="center" wrapText="1"/>
    </xf>
    <xf numFmtId="0" fontId="53" fillId="0" borderId="105" xfId="0" applyFont="1" applyBorder="1" applyAlignment="1">
      <alignment horizontal="center" vertical="center" wrapText="1"/>
    </xf>
    <xf numFmtId="0" fontId="53" fillId="0" borderId="4" xfId="0" applyFont="1" applyBorder="1" applyAlignment="1">
      <alignment horizontal="center" vertical="center"/>
    </xf>
    <xf numFmtId="0" fontId="53" fillId="0" borderId="6" xfId="0" applyFont="1" applyBorder="1" applyAlignment="1">
      <alignment horizontal="center" vertical="center"/>
    </xf>
    <xf numFmtId="165" fontId="53" fillId="0" borderId="56" xfId="0" applyNumberFormat="1" applyFont="1" applyBorder="1" applyAlignment="1">
      <alignment horizontal="center" vertical="center"/>
    </xf>
    <xf numFmtId="0" fontId="53" fillId="0" borderId="61" xfId="0" applyFont="1" applyBorder="1" applyAlignment="1">
      <alignment horizontal="left" vertical="center" wrapText="1"/>
    </xf>
    <xf numFmtId="0" fontId="71" fillId="0" borderId="59" xfId="0" applyFont="1" applyBorder="1" applyAlignment="1">
      <alignment horizontal="left" vertical="center" wrapText="1"/>
    </xf>
    <xf numFmtId="0" fontId="110" fillId="0" borderId="21" xfId="592" applyFont="1" applyBorder="1" applyAlignment="1">
      <alignment vertical="center" wrapText="1"/>
    </xf>
    <xf numFmtId="0" fontId="93" fillId="0" borderId="56" xfId="592" applyFill="1" applyBorder="1" applyAlignment="1">
      <alignment horizontal="center" vertical="center"/>
    </xf>
    <xf numFmtId="0" fontId="0" fillId="0" borderId="56" xfId="0" applyBorder="1" applyAlignment="1">
      <alignment horizontal="center"/>
    </xf>
    <xf numFmtId="0" fontId="93" fillId="0" borderId="56" xfId="592" applyBorder="1" applyAlignment="1">
      <alignment horizontal="center" vertical="center"/>
    </xf>
    <xf numFmtId="0" fontId="106" fillId="0" borderId="56" xfId="592" applyFont="1" applyBorder="1" applyAlignment="1">
      <alignment horizontal="center" vertical="center"/>
    </xf>
    <xf numFmtId="0" fontId="112" fillId="0" borderId="56" xfId="0" applyFont="1" applyBorder="1" applyAlignment="1">
      <alignment horizontal="left" vertical="center" wrapText="1"/>
    </xf>
    <xf numFmtId="0" fontId="111" fillId="0" borderId="56" xfId="592" applyFont="1" applyBorder="1" applyAlignment="1">
      <alignment horizontal="center" vertical="center" wrapText="1"/>
    </xf>
    <xf numFmtId="0" fontId="112" fillId="0" borderId="109" xfId="0" applyFont="1" applyBorder="1" applyAlignment="1">
      <alignment horizontal="left" vertical="center" wrapText="1"/>
    </xf>
    <xf numFmtId="0" fontId="111" fillId="0" borderId="110" xfId="592" applyFont="1" applyBorder="1" applyAlignment="1">
      <alignment horizontal="center" vertical="center"/>
    </xf>
    <xf numFmtId="0" fontId="93" fillId="0" borderId="94" xfId="592" applyBorder="1" applyAlignment="1">
      <alignment horizontal="center"/>
    </xf>
    <xf numFmtId="0" fontId="53" fillId="0" borderId="56" xfId="0" applyFont="1" applyBorder="1" applyAlignment="1">
      <alignment wrapText="1"/>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53" fillId="0" borderId="62" xfId="0" applyFont="1" applyBorder="1" applyAlignment="1">
      <alignment horizontal="center" vertical="center"/>
    </xf>
    <xf numFmtId="0" fontId="93" fillId="0" borderId="10" xfId="592" applyFill="1" applyBorder="1" applyAlignment="1">
      <alignment horizontal="center" vertical="center"/>
    </xf>
    <xf numFmtId="0" fontId="71" fillId="0" borderId="10" xfId="0" applyFont="1" applyBorder="1" applyAlignment="1">
      <alignment vertical="center" wrapText="1"/>
    </xf>
    <xf numFmtId="0" fontId="53" fillId="0" borderId="10" xfId="0" applyFont="1" applyBorder="1" applyAlignment="1">
      <alignment horizontal="center" vertical="center"/>
    </xf>
    <xf numFmtId="0" fontId="53" fillId="0" borderId="10" xfId="0" applyFont="1" applyBorder="1" applyAlignment="1">
      <alignment vertical="center" wrapText="1"/>
    </xf>
    <xf numFmtId="0" fontId="93" fillId="0" borderId="102" xfId="592" applyBorder="1" applyAlignment="1">
      <alignment horizontal="center"/>
    </xf>
    <xf numFmtId="0" fontId="93" fillId="0" borderId="6" xfId="592" applyBorder="1" applyAlignment="1">
      <alignment horizontal="center"/>
    </xf>
    <xf numFmtId="0" fontId="93" fillId="0" borderId="10" xfId="592" applyBorder="1" applyAlignment="1">
      <alignment horizontal="center"/>
    </xf>
    <xf numFmtId="0" fontId="53" fillId="0" borderId="10" xfId="0" applyFont="1" applyBorder="1" applyAlignment="1">
      <alignment horizontal="left" vertical="center"/>
    </xf>
    <xf numFmtId="0" fontId="93" fillId="0" borderId="56" xfId="592" applyBorder="1" applyAlignment="1">
      <alignment horizontal="center"/>
    </xf>
    <xf numFmtId="0" fontId="93" fillId="0" borderId="62" xfId="592" applyBorder="1" applyAlignment="1">
      <alignment horizontal="center"/>
    </xf>
    <xf numFmtId="0" fontId="93" fillId="0" borderId="0" xfId="592" applyFill="1" applyAlignment="1">
      <alignment horizontal="center"/>
    </xf>
    <xf numFmtId="0" fontId="110" fillId="0" borderId="56" xfId="592" applyFont="1" applyFill="1" applyBorder="1" applyAlignment="1">
      <alignment horizontal="left" vertical="center" wrapText="1"/>
    </xf>
    <xf numFmtId="0" fontId="53" fillId="0" borderId="63" xfId="0" applyFont="1" applyBorder="1" applyAlignment="1">
      <alignment horizontal="left"/>
    </xf>
    <xf numFmtId="0" fontId="84" fillId="61" borderId="56" xfId="0" applyFont="1" applyFill="1" applyBorder="1" applyAlignment="1">
      <alignment horizontal="center" vertical="center" wrapText="1"/>
    </xf>
    <xf numFmtId="0" fontId="84" fillId="61" borderId="62" xfId="0" applyFont="1" applyFill="1" applyBorder="1" applyAlignment="1">
      <alignment horizontal="center" vertical="center" wrapText="1"/>
    </xf>
    <xf numFmtId="0" fontId="84" fillId="61" borderId="21" xfId="0" applyFont="1" applyFill="1" applyBorder="1" applyAlignment="1">
      <alignment horizontal="center" vertical="center" wrapText="1"/>
    </xf>
    <xf numFmtId="0" fontId="84" fillId="61" borderId="10" xfId="0" applyFont="1" applyFill="1" applyBorder="1" applyAlignment="1">
      <alignment horizontal="center" vertical="center" wrapText="1"/>
    </xf>
    <xf numFmtId="0" fontId="57" fillId="0" borderId="10"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94"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56" xfId="0" applyFont="1" applyBorder="1" applyAlignment="1">
      <alignment horizontal="left" vertical="center"/>
    </xf>
    <xf numFmtId="0" fontId="57" fillId="0" borderId="56" xfId="0" applyFont="1" applyBorder="1" applyAlignment="1">
      <alignment horizontal="center" vertical="center"/>
    </xf>
    <xf numFmtId="0" fontId="53" fillId="0" borderId="9" xfId="0" applyFont="1" applyBorder="1"/>
    <xf numFmtId="0" fontId="53" fillId="0" borderId="92" xfId="0" applyFont="1" applyBorder="1"/>
    <xf numFmtId="0" fontId="53" fillId="0" borderId="85" xfId="0" applyFont="1" applyBorder="1"/>
    <xf numFmtId="0" fontId="53" fillId="0" borderId="91" xfId="0" applyFont="1" applyBorder="1"/>
    <xf numFmtId="0" fontId="53" fillId="0" borderId="58"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111"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12"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7"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13"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58" xfId="0" applyFont="1" applyBorder="1" applyAlignment="1">
      <alignment horizontal="center" vertical="center"/>
    </xf>
    <xf numFmtId="0" fontId="57" fillId="0" borderId="114"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21"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115" xfId="0" applyFont="1" applyBorder="1" applyAlignment="1">
      <alignment horizontal="center" vertical="center"/>
      <extLst>
        <ext xmlns:xfpb="http://schemas.microsoft.com/office/spreadsheetml/2022/featurepropertybag" uri="{C7286773-470A-42A8-94C5-96B5CB345126}">
          <xfpb:xfComplement i="0"/>
        </ext>
      </extLst>
    </xf>
    <xf numFmtId="0" fontId="57" fillId="0" borderId="58" xfId="0" applyFont="1" applyBorder="1" applyAlignment="1">
      <alignment horizontal="center"/>
    </xf>
    <xf numFmtId="0" fontId="84" fillId="61" borderId="57" xfId="0" applyFont="1" applyFill="1" applyBorder="1" applyAlignment="1">
      <alignment horizontal="center" vertical="center"/>
    </xf>
    <xf numFmtId="0" fontId="84" fillId="61" borderId="63" xfId="0" applyFont="1" applyFill="1" applyBorder="1" applyAlignment="1">
      <alignment horizontal="center" vertical="center"/>
    </xf>
    <xf numFmtId="0" fontId="84" fillId="61" borderId="58" xfId="0" applyFont="1" applyFill="1" applyBorder="1" applyAlignment="1">
      <alignment horizontal="center" vertical="center"/>
    </xf>
    <xf numFmtId="0" fontId="57" fillId="0" borderId="94" xfId="0" applyFont="1" applyBorder="1" applyAlignment="1">
      <alignment horizontal="center" vertical="center" wrapText="1"/>
    </xf>
    <xf numFmtId="0" fontId="53" fillId="0" borderId="95" xfId="0" applyFont="1" applyBorder="1">
      <extLst>
        <ext xmlns:xfpb="http://schemas.microsoft.com/office/spreadsheetml/2022/featurepropertybag" uri="{C7286773-470A-42A8-94C5-96B5CB345126}">
          <xfpb:xfComplement i="0"/>
        </ext>
      </extLst>
    </xf>
    <xf numFmtId="0" fontId="53" fillId="0" borderId="6" xfId="0" applyFont="1" applyBorder="1">
      <extLst>
        <ext xmlns:xfpb="http://schemas.microsoft.com/office/spreadsheetml/2022/featurepropertybag" uri="{C7286773-470A-42A8-94C5-96B5CB345126}">
          <xfpb:xfComplement i="0"/>
        </ext>
      </extLst>
    </xf>
    <xf numFmtId="0" fontId="63" fillId="67" borderId="58" xfId="0" applyFont="1" applyFill="1" applyBorder="1" applyAlignment="1">
      <alignment horizontal="center" vertical="center"/>
    </xf>
    <xf numFmtId="0" fontId="63" fillId="67" borderId="19" xfId="0" applyFont="1" applyFill="1" applyBorder="1" applyAlignment="1">
      <alignment horizontal="center" vertical="center"/>
    </xf>
    <xf numFmtId="0" fontId="57" fillId="0" borderId="21" xfId="0" applyFont="1" applyBorder="1" applyAlignment="1">
      <alignment vertical="center"/>
    </xf>
    <xf numFmtId="0" fontId="53" fillId="0" borderId="56" xfId="0" applyFont="1" applyBorder="1" applyAlignment="1">
      <alignment vertical="center"/>
      <extLst>
        <ext xmlns:xfpb="http://schemas.microsoft.com/office/spreadsheetml/2022/featurepropertybag" uri="{C7286773-470A-42A8-94C5-96B5CB345126}">
          <xfpb:xfComplement i="0"/>
        </ext>
      </extLst>
    </xf>
    <xf numFmtId="0" fontId="84" fillId="61" borderId="119" xfId="0" applyFont="1" applyFill="1" applyBorder="1" applyAlignment="1">
      <alignment horizontal="center"/>
    </xf>
    <xf numFmtId="0" fontId="127" fillId="3" borderId="0" xfId="0" applyFont="1" applyFill="1"/>
    <xf numFmtId="0" fontId="129" fillId="3" borderId="0" xfId="0" applyFont="1" applyFill="1"/>
    <xf numFmtId="0" fontId="128" fillId="3" borderId="0" xfId="0" applyFont="1" applyFill="1" applyAlignment="1">
      <alignment horizontal="center" vertical="center"/>
    </xf>
    <xf numFmtId="0" fontId="128" fillId="61" borderId="0" xfId="0" applyFont="1" applyFill="1" applyAlignment="1">
      <alignment horizontal="center" vertical="center"/>
    </xf>
    <xf numFmtId="0" fontId="130" fillId="61" borderId="0" xfId="0" applyFont="1" applyFill="1" applyAlignment="1">
      <alignment horizontal="center" vertical="center"/>
    </xf>
    <xf numFmtId="0" fontId="131" fillId="61" borderId="0" xfId="0" applyFont="1" applyFill="1" applyAlignment="1">
      <alignment horizontal="center" vertical="center"/>
    </xf>
    <xf numFmtId="0" fontId="130" fillId="61" borderId="0" xfId="0" applyFont="1" applyFill="1"/>
    <xf numFmtId="0" fontId="129" fillId="61" borderId="0" xfId="0" applyFont="1" applyFill="1" applyAlignment="1">
      <alignment horizontal="center" vertical="center"/>
    </xf>
    <xf numFmtId="0" fontId="132" fillId="61" borderId="0" xfId="0" applyFont="1" applyFill="1"/>
    <xf numFmtId="0" fontId="53" fillId="0" borderId="63" xfId="0" applyFont="1" applyBorder="1" applyAlignment="1">
      <alignment horizontal="left" vertical="center" wrapText="1"/>
    </xf>
    <xf numFmtId="0" fontId="53" fillId="0" borderId="58" xfId="0" applyFont="1" applyBorder="1" applyAlignment="1">
      <alignment horizontal="left" vertical="center" wrapText="1"/>
      <extLst>
        <ext xmlns:xfpb="http://schemas.microsoft.com/office/spreadsheetml/2022/featurepropertybag" uri="{C7286773-470A-42A8-94C5-96B5CB345126}">
          <xfpb:xfComplement i="0"/>
        </ext>
      </extLst>
    </xf>
    <xf numFmtId="0" fontId="53" fillId="0" borderId="63" xfId="0" applyFont="1" applyBorder="1" applyAlignment="1">
      <alignment horizontal="left" vertical="center" wrapText="1"/>
      <extLst>
        <ext xmlns:xfpb="http://schemas.microsoft.com/office/spreadsheetml/2022/featurepropertybag" uri="{C7286773-470A-42A8-94C5-96B5CB345126}">
          <xfpb:xfComplement i="0"/>
        </ext>
      </extLst>
    </xf>
    <xf numFmtId="0" fontId="53" fillId="0" borderId="64"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105" xfId="0" applyFont="1" applyBorder="1" applyAlignment="1">
      <alignment horizontal="center" vertical="center"/>
    </xf>
    <xf numFmtId="165" fontId="53" fillId="0" borderId="3" xfId="0" applyNumberFormat="1" applyFont="1" applyBorder="1" applyAlignment="1">
      <alignment horizontal="center" vertical="center"/>
    </xf>
    <xf numFmtId="165" fontId="53" fillId="0" borderId="8" xfId="0" applyNumberFormat="1" applyFont="1" applyBorder="1" applyAlignment="1">
      <alignment horizontal="center" vertical="center"/>
    </xf>
    <xf numFmtId="165" fontId="53" fillId="0" borderId="6" xfId="0" applyNumberFormat="1" applyFont="1" applyBorder="1" applyAlignment="1">
      <alignment horizontal="center" vertical="center"/>
    </xf>
    <xf numFmtId="0" fontId="0" fillId="61" borderId="0" xfId="0" applyFill="1" applyAlignment="1">
      <alignment horizontal="left" vertical="center"/>
    </xf>
    <xf numFmtId="0" fontId="53" fillId="0" borderId="62" xfId="0" applyFont="1" applyBorder="1" applyAlignment="1">
      <alignment horizontal="center" vertical="center"/>
      <extLst>
        <ext xmlns:xfpb="http://schemas.microsoft.com/office/spreadsheetml/2022/featurepropertybag" uri="{C7286773-470A-42A8-94C5-96B5CB345126}">
          <xfpb:xfComplement i="0"/>
        </ext>
      </extLst>
    </xf>
    <xf numFmtId="0" fontId="53"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53" fillId="61" borderId="19" xfId="0" applyFont="1" applyFill="1" applyBorder="1"/>
    <xf numFmtId="0" fontId="53" fillId="0" borderId="16" xfId="0" applyFont="1" applyBorder="1"/>
    <xf numFmtId="0" fontId="116" fillId="0" borderId="56" xfId="0" applyFont="1" applyBorder="1" applyAlignment="1">
      <alignment horizontal="center" vertical="center"/>
    </xf>
    <xf numFmtId="0" fontId="84" fillId="61" borderId="68" xfId="0" applyFont="1" applyFill="1" applyBorder="1" applyAlignment="1">
      <alignment vertical="center"/>
    </xf>
    <xf numFmtId="0" fontId="23" fillId="72" borderId="0" xfId="0" applyFont="1" applyFill="1" applyAlignment="1">
      <alignment horizontal="left" vertical="center" wrapText="1"/>
    </xf>
    <xf numFmtId="0" fontId="138" fillId="0" borderId="0" xfId="0" applyFont="1" applyAlignment="1">
      <alignment vertical="center" wrapText="1"/>
    </xf>
    <xf numFmtId="0" fontId="0" fillId="0" borderId="0" xfId="0" applyAlignment="1">
      <alignment wrapText="1"/>
    </xf>
    <xf numFmtId="0" fontId="0" fillId="64" borderId="0" xfId="0" applyFill="1" applyAlignment="1">
      <alignment wrapText="1"/>
    </xf>
    <xf numFmtId="0" fontId="0" fillId="64" borderId="0" xfId="0" applyFill="1" applyAlignment="1">
      <alignment vertical="center" wrapText="1"/>
    </xf>
    <xf numFmtId="0" fontId="19" fillId="61" borderId="0" xfId="0" applyFont="1" applyFill="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71" fillId="0" borderId="0" xfId="0" applyFont="1" applyAlignment="1">
      <alignment horizontal="center" vertical="center" wrapText="1"/>
    </xf>
    <xf numFmtId="0" fontId="64" fillId="0" borderId="0" xfId="0" applyFont="1" applyAlignment="1">
      <alignment vertical="top" wrapText="1"/>
    </xf>
    <xf numFmtId="0" fontId="53" fillId="0" borderId="0" xfId="0" applyFont="1" applyAlignment="1">
      <alignment vertical="top"/>
    </xf>
    <xf numFmtId="0" fontId="2" fillId="0" borderId="0" xfId="0" applyFont="1" applyAlignment="1">
      <alignment horizontal="center"/>
    </xf>
    <xf numFmtId="0" fontId="2" fillId="0" borderId="3" xfId="0" applyFont="1" applyBorder="1"/>
    <xf numFmtId="0" fontId="64" fillId="0" borderId="0" xfId="0" applyFont="1" applyAlignment="1">
      <alignment wrapText="1"/>
    </xf>
    <xf numFmtId="0" fontId="45" fillId="2" borderId="13" xfId="0" applyFont="1" applyFill="1" applyBorder="1" applyAlignment="1">
      <alignment horizontal="left"/>
    </xf>
    <xf numFmtId="0" fontId="45" fillId="2" borderId="0" xfId="0" applyFont="1" applyFill="1" applyAlignment="1">
      <alignment horizontal="left"/>
    </xf>
    <xf numFmtId="0" fontId="46" fillId="2" borderId="13" xfId="0" applyFont="1" applyFill="1" applyBorder="1" applyAlignment="1">
      <alignment horizontal="left" vertical="top" wrapText="1"/>
    </xf>
    <xf numFmtId="0" fontId="46" fillId="2" borderId="0" xfId="0" applyFont="1" applyFill="1" applyAlignment="1">
      <alignment horizontal="left" vertical="top" wrapText="1"/>
    </xf>
    <xf numFmtId="0" fontId="46" fillId="2" borderId="8" xfId="0" applyFont="1" applyFill="1" applyBorder="1" applyAlignment="1">
      <alignment horizontal="left" vertical="top" wrapText="1"/>
    </xf>
    <xf numFmtId="0" fontId="48" fillId="36" borderId="64" xfId="0" applyFont="1" applyFill="1" applyBorder="1" applyAlignment="1" applyProtection="1">
      <alignment horizontal="center" vertical="center" wrapText="1"/>
      <protection hidden="1"/>
    </xf>
    <xf numFmtId="0" fontId="48" fillId="36" borderId="65" xfId="0" applyFont="1" applyFill="1" applyBorder="1" applyAlignment="1" applyProtection="1">
      <alignment horizontal="center" vertical="center" wrapText="1"/>
      <protection hidden="1"/>
    </xf>
    <xf numFmtId="0" fontId="48" fillId="36" borderId="66" xfId="0" applyFont="1" applyFill="1" applyBorder="1" applyAlignment="1" applyProtection="1">
      <alignment horizontal="center" vertical="center" wrapText="1"/>
      <protection hidden="1"/>
    </xf>
    <xf numFmtId="0" fontId="52" fillId="2" borderId="56" xfId="0" applyFont="1" applyFill="1" applyBorder="1" applyProtection="1">
      <protection hidden="1"/>
    </xf>
    <xf numFmtId="0" fontId="20" fillId="2" borderId="16"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8" xfId="0" applyFont="1" applyFill="1" applyBorder="1" applyAlignment="1">
      <alignment horizontal="left" vertical="center" wrapText="1"/>
    </xf>
    <xf numFmtId="0" fontId="53" fillId="0" borderId="57" xfId="0" applyFont="1" applyBorder="1" applyAlignment="1">
      <alignment horizontal="left" vertical="center" wrapText="1"/>
    </xf>
    <xf numFmtId="0" fontId="53" fillId="0" borderId="63" xfId="0" applyFont="1" applyBorder="1" applyAlignment="1">
      <alignment horizontal="left" vertical="center" wrapText="1"/>
    </xf>
    <xf numFmtId="0" fontId="53" fillId="0" borderId="58" xfId="0" applyFont="1" applyBorder="1" applyAlignment="1">
      <alignment horizontal="left" vertical="center" wrapText="1"/>
    </xf>
    <xf numFmtId="0" fontId="50" fillId="36" borderId="75" xfId="0" applyFont="1" applyFill="1" applyBorder="1" applyAlignment="1" applyProtection="1">
      <alignment horizontal="center" vertical="center" wrapText="1"/>
      <protection hidden="1"/>
    </xf>
    <xf numFmtId="0" fontId="50" fillId="36" borderId="76" xfId="0" applyFont="1" applyFill="1" applyBorder="1" applyAlignment="1" applyProtection="1">
      <alignment horizontal="center" vertical="center" wrapText="1"/>
      <protection hidden="1"/>
    </xf>
    <xf numFmtId="0" fontId="50" fillId="36" borderId="77" xfId="0" applyFont="1" applyFill="1" applyBorder="1" applyAlignment="1" applyProtection="1">
      <alignment horizontal="center" vertical="center" wrapText="1"/>
      <protection hidden="1"/>
    </xf>
    <xf numFmtId="0" fontId="53" fillId="0" borderId="57" xfId="0" applyFont="1" applyBorder="1" applyAlignment="1">
      <alignment horizontal="left" wrapText="1"/>
    </xf>
    <xf numFmtId="0" fontId="53" fillId="0" borderId="63" xfId="0" applyFont="1" applyBorder="1" applyAlignment="1">
      <alignment horizontal="left" wrapText="1"/>
    </xf>
    <xf numFmtId="0" fontId="53" fillId="0" borderId="58" xfId="0" applyFont="1" applyBorder="1" applyAlignment="1">
      <alignment horizontal="left" wrapText="1"/>
    </xf>
    <xf numFmtId="0" fontId="53" fillId="0" borderId="72" xfId="0" applyFont="1" applyBorder="1" applyAlignment="1">
      <alignment horizontal="left" vertical="center"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0" borderId="57" xfId="0" applyFont="1" applyBorder="1" applyAlignment="1">
      <alignment horizontal="left" vertical="top" wrapText="1"/>
    </xf>
    <xf numFmtId="0" fontId="53" fillId="0" borderId="63" xfId="0" applyFont="1" applyBorder="1" applyAlignment="1">
      <alignment horizontal="left" vertical="top" wrapText="1"/>
    </xf>
    <xf numFmtId="0" fontId="53" fillId="0" borderId="58" xfId="0" applyFont="1" applyBorder="1" applyAlignment="1">
      <alignment horizontal="left" vertical="top" wrapText="1"/>
    </xf>
    <xf numFmtId="0" fontId="78" fillId="0" borderId="56" xfId="0" applyFont="1" applyBorder="1" applyAlignment="1">
      <alignment horizontal="center" vertical="center" wrapText="1"/>
    </xf>
    <xf numFmtId="0" fontId="53" fillId="0" borderId="56" xfId="0" applyFont="1" applyBorder="1" applyAlignment="1">
      <alignment horizontal="left" vertical="center" wrapText="1"/>
    </xf>
    <xf numFmtId="0" fontId="50" fillId="36" borderId="53" xfId="0" applyFont="1" applyFill="1" applyBorder="1" applyAlignment="1" applyProtection="1">
      <alignment horizontal="center" vertical="center"/>
      <protection hidden="1"/>
    </xf>
    <xf numFmtId="0" fontId="50" fillId="36" borderId="54" xfId="0" applyFont="1" applyFill="1" applyBorder="1" applyAlignment="1" applyProtection="1">
      <alignment horizontal="center" vertical="center"/>
      <protection hidden="1"/>
    </xf>
    <xf numFmtId="0" fontId="50" fillId="36" borderId="55" xfId="0" applyFont="1" applyFill="1" applyBorder="1" applyAlignment="1" applyProtection="1">
      <alignment horizontal="center" vertical="center"/>
      <protection hidden="1"/>
    </xf>
    <xf numFmtId="0" fontId="53" fillId="0" borderId="59" xfId="0" applyFont="1" applyBorder="1" applyAlignment="1">
      <alignment horizontal="left" vertical="center" wrapText="1"/>
    </xf>
    <xf numFmtId="0" fontId="53" fillId="0" borderId="60" xfId="0" applyFont="1" applyBorder="1" applyAlignment="1">
      <alignment horizontal="left" vertical="center" wrapText="1"/>
    </xf>
    <xf numFmtId="0" fontId="53" fillId="0" borderId="61" xfId="0" applyFont="1" applyBorder="1" applyAlignment="1">
      <alignment horizontal="left" vertical="center" wrapText="1"/>
    </xf>
    <xf numFmtId="0" fontId="53" fillId="0" borderId="16" xfId="0" applyFont="1" applyBorder="1" applyAlignment="1">
      <alignment horizontal="left" vertical="center" wrapText="1"/>
    </xf>
    <xf numFmtId="0" fontId="53" fillId="0" borderId="0" xfId="0" applyFont="1" applyAlignment="1">
      <alignment horizontal="left" vertical="center" wrapText="1"/>
    </xf>
    <xf numFmtId="0" fontId="53" fillId="0" borderId="17" xfId="0" applyFont="1" applyBorder="1" applyAlignment="1">
      <alignment horizontal="left" vertical="center" wrapText="1"/>
    </xf>
    <xf numFmtId="0" fontId="53" fillId="0" borderId="18" xfId="0" applyFont="1" applyBorder="1" applyAlignment="1">
      <alignment horizontal="left" vertical="center" wrapText="1"/>
    </xf>
    <xf numFmtId="0" fontId="53" fillId="0" borderId="9" xfId="0" applyFont="1" applyBorder="1" applyAlignment="1">
      <alignment horizontal="left" vertical="center" wrapText="1"/>
    </xf>
    <xf numFmtId="0" fontId="53" fillId="0" borderId="19" xfId="0" applyFont="1" applyBorder="1" applyAlignment="1">
      <alignment horizontal="left" vertical="center" wrapText="1"/>
    </xf>
    <xf numFmtId="0" fontId="58" fillId="0" borderId="56" xfId="0" applyFont="1" applyBorder="1" applyAlignment="1">
      <alignment horizontal="center" vertical="center" wrapText="1"/>
    </xf>
    <xf numFmtId="0" fontId="60" fillId="0" borderId="56" xfId="0" applyFont="1" applyBorder="1" applyAlignment="1">
      <alignment horizontal="center" vertical="center" wrapText="1"/>
    </xf>
    <xf numFmtId="0" fontId="57" fillId="0" borderId="57" xfId="0" applyFont="1" applyBorder="1" applyAlignment="1">
      <alignment horizontal="center"/>
    </xf>
    <xf numFmtId="0" fontId="57" fillId="0" borderId="63" xfId="0" applyFont="1" applyBorder="1" applyAlignment="1">
      <alignment horizontal="center"/>
    </xf>
    <xf numFmtId="0" fontId="57" fillId="0" borderId="95" xfId="0" applyFont="1" applyBorder="1" applyAlignment="1">
      <alignment horizontal="center"/>
    </xf>
    <xf numFmtId="0" fontId="50" fillId="36" borderId="1" xfId="0" applyFont="1" applyFill="1" applyBorder="1" applyAlignment="1" applyProtection="1">
      <alignment horizontal="center" vertical="center"/>
      <protection hidden="1"/>
    </xf>
    <xf numFmtId="0" fontId="50" fillId="36" borderId="2" xfId="0" applyFont="1" applyFill="1" applyBorder="1" applyAlignment="1" applyProtection="1">
      <alignment horizontal="center" vertical="center"/>
      <protection hidden="1"/>
    </xf>
    <xf numFmtId="0" fontId="50" fillId="36" borderId="120" xfId="0" applyFont="1" applyFill="1" applyBorder="1" applyAlignment="1" applyProtection="1">
      <alignment horizontal="center" vertical="center"/>
      <protection hidden="1"/>
    </xf>
    <xf numFmtId="0" fontId="52" fillId="37" borderId="13" xfId="0" applyFont="1" applyFill="1" applyBorder="1" applyAlignment="1" applyProtection="1">
      <alignment horizontal="center" vertical="center"/>
      <protection hidden="1"/>
    </xf>
    <xf numFmtId="0" fontId="52" fillId="37" borderId="0" xfId="0" applyFont="1" applyFill="1" applyAlignment="1" applyProtection="1">
      <alignment horizontal="center" vertical="center"/>
      <protection hidden="1"/>
    </xf>
    <xf numFmtId="0" fontId="52" fillId="37" borderId="8" xfId="0" applyFont="1" applyFill="1" applyBorder="1" applyAlignment="1" applyProtection="1">
      <alignment horizontal="center" vertical="center"/>
      <protection hidden="1"/>
    </xf>
    <xf numFmtId="0" fontId="57" fillId="0" borderId="56" xfId="0" applyFont="1" applyBorder="1" applyAlignment="1">
      <alignment horizontal="center" vertical="center" wrapText="1"/>
    </xf>
    <xf numFmtId="0" fontId="57" fillId="0" borderId="56" xfId="0" applyFont="1" applyBorder="1" applyAlignment="1">
      <alignment horizontal="left" vertical="center" wrapText="1"/>
    </xf>
    <xf numFmtId="0" fontId="57" fillId="0" borderId="0" xfId="0" applyFont="1" applyAlignment="1">
      <alignment horizontal="center"/>
    </xf>
    <xf numFmtId="0" fontId="57" fillId="0" borderId="8" xfId="0" applyFont="1" applyBorder="1" applyAlignment="1">
      <alignment horizontal="center"/>
    </xf>
    <xf numFmtId="0" fontId="57" fillId="0" borderId="92"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61"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117" xfId="0" applyFont="1" applyBorder="1" applyAlignment="1">
      <alignment horizontal="center" vertical="center" wrapText="1"/>
    </xf>
    <xf numFmtId="0" fontId="53" fillId="0" borderId="57" xfId="0" applyFont="1" applyBorder="1" applyAlignment="1">
      <alignment horizontal="left" vertical="center"/>
    </xf>
    <xf numFmtId="0" fontId="53" fillId="0" borderId="63" xfId="0" applyFont="1" applyBorder="1" applyAlignment="1">
      <alignment horizontal="left" vertical="center"/>
    </xf>
    <xf numFmtId="0" fontId="53" fillId="0" borderId="58" xfId="0" applyFont="1" applyBorder="1" applyAlignment="1">
      <alignment horizontal="left" vertical="center"/>
    </xf>
    <xf numFmtId="0" fontId="53" fillId="0" borderId="118" xfId="0" applyFont="1" applyBorder="1" applyAlignment="1">
      <alignment horizontal="left" vertical="center"/>
    </xf>
    <xf numFmtId="0" fontId="53" fillId="0" borderId="5" xfId="0" applyFont="1" applyBorder="1" applyAlignment="1">
      <alignment horizontal="left" vertical="center"/>
    </xf>
    <xf numFmtId="0" fontId="53" fillId="0" borderId="117" xfId="0" applyFont="1" applyBorder="1" applyAlignment="1">
      <alignment horizontal="left" vertical="center"/>
    </xf>
    <xf numFmtId="0" fontId="104" fillId="0" borderId="89" xfId="0" applyFont="1" applyBorder="1" applyAlignment="1">
      <alignment horizontal="center" vertical="center" wrapText="1"/>
    </xf>
    <xf numFmtId="0" fontId="104" fillId="0" borderId="102" xfId="0" applyFont="1" applyBorder="1" applyAlignment="1">
      <alignment horizontal="center" vertical="center" wrapText="1"/>
    </xf>
    <xf numFmtId="0" fontId="57" fillId="0" borderId="57" xfId="0" applyFont="1" applyBorder="1" applyAlignment="1">
      <alignment horizontal="left"/>
    </xf>
    <xf numFmtId="0" fontId="57" fillId="0" borderId="63" xfId="0" applyFont="1" applyBorder="1" applyAlignment="1">
      <alignment horizontal="left"/>
    </xf>
    <xf numFmtId="0" fontId="57" fillId="0" borderId="95" xfId="0" applyFont="1" applyBorder="1" applyAlignment="1">
      <alignment horizontal="left"/>
    </xf>
    <xf numFmtId="0" fontId="57" fillId="0" borderId="56" xfId="0" applyFont="1" applyBorder="1" applyAlignment="1">
      <alignment horizontal="center"/>
    </xf>
    <xf numFmtId="0" fontId="57" fillId="0" borderId="56" xfId="0" applyFont="1" applyBorder="1" applyAlignment="1">
      <alignment horizontal="center" vertical="center"/>
    </xf>
    <xf numFmtId="0" fontId="57" fillId="0" borderId="58" xfId="0" applyFont="1" applyBorder="1" applyAlignment="1">
      <alignment horizontal="center"/>
    </xf>
    <xf numFmtId="0" fontId="57" fillId="0" borderId="94" xfId="0" applyFont="1" applyBorder="1" applyAlignment="1">
      <alignment horizontal="center"/>
    </xf>
    <xf numFmtId="0" fontId="57" fillId="0" borderId="13" xfId="0" applyFont="1" applyBorder="1" applyAlignment="1">
      <alignment horizontal="center" vertical="center" wrapText="1"/>
    </xf>
    <xf numFmtId="0" fontId="57" fillId="0" borderId="0" xfId="0" applyFont="1" applyAlignment="1">
      <alignment horizontal="center" vertical="center" wrapText="1"/>
    </xf>
    <xf numFmtId="0" fontId="57" fillId="0" borderId="17" xfId="0" applyFont="1" applyBorder="1" applyAlignment="1">
      <alignment horizontal="center" vertical="center" wrapText="1"/>
    </xf>
    <xf numFmtId="0" fontId="57" fillId="0" borderId="70"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9" xfId="0" applyFont="1" applyBorder="1" applyAlignment="1">
      <alignment horizontal="center" vertical="center" wrapText="1"/>
    </xf>
    <xf numFmtId="9" fontId="104" fillId="0" borderId="56" xfId="591" applyFont="1" applyBorder="1" applyAlignment="1">
      <alignment horizontal="center" vertical="center" wrapText="1"/>
    </xf>
    <xf numFmtId="0" fontId="104" fillId="0" borderId="56" xfId="0" applyFont="1" applyBorder="1" applyAlignment="1">
      <alignment horizontal="center" vertical="center" wrapText="1"/>
    </xf>
    <xf numFmtId="0" fontId="57" fillId="0" borderId="85" xfId="0" applyFont="1" applyBorder="1" applyAlignment="1">
      <alignment horizontal="left" vertical="center" wrapText="1"/>
    </xf>
    <xf numFmtId="0" fontId="66" fillId="0" borderId="59" xfId="0" applyFont="1" applyBorder="1" applyAlignment="1">
      <alignment horizontal="center" vertical="center" wrapText="1"/>
    </xf>
    <xf numFmtId="0" fontId="66" fillId="0" borderId="60" xfId="0" applyFont="1" applyBorder="1" applyAlignment="1">
      <alignment horizontal="center" vertical="center" wrapText="1"/>
    </xf>
    <xf numFmtId="0" fontId="66" fillId="0" borderId="61"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0" xfId="0" applyFont="1" applyAlignment="1">
      <alignment horizontal="center" vertical="center" wrapText="1"/>
    </xf>
    <xf numFmtId="0" fontId="66" fillId="0" borderId="17"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62" xfId="0" applyFont="1" applyBorder="1" applyAlignment="1">
      <alignment horizontal="center" vertical="center"/>
    </xf>
    <xf numFmtId="0" fontId="66" fillId="0" borderId="21" xfId="0" applyFont="1" applyBorder="1" applyAlignment="1">
      <alignment horizontal="center" vertical="center"/>
    </xf>
    <xf numFmtId="0" fontId="66" fillId="0" borderId="10" xfId="0" applyFont="1" applyBorder="1" applyAlignment="1">
      <alignment horizontal="center" vertical="center"/>
    </xf>
    <xf numFmtId="0" fontId="64" fillId="0" borderId="59" xfId="0" applyFont="1" applyBorder="1" applyAlignment="1">
      <alignment horizontal="center" vertical="center" wrapText="1"/>
    </xf>
    <xf numFmtId="0" fontId="64" fillId="0" borderId="60" xfId="0" applyFont="1" applyBorder="1" applyAlignment="1">
      <alignment horizontal="center" vertical="center" wrapText="1"/>
    </xf>
    <xf numFmtId="0" fontId="64" fillId="0" borderId="61"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0" xfId="0" applyFont="1" applyAlignment="1">
      <alignment horizontal="center" vertical="center" wrapText="1"/>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9" xfId="0" applyFont="1" applyBorder="1" applyAlignment="1">
      <alignment horizontal="center" vertical="center" wrapText="1"/>
    </xf>
    <xf numFmtId="0" fontId="85" fillId="61" borderId="59" xfId="0" applyFont="1" applyFill="1" applyBorder="1" applyAlignment="1">
      <alignment horizontal="center" vertical="center" wrapText="1"/>
    </xf>
    <xf numFmtId="0" fontId="85" fillId="61" borderId="18" xfId="0" applyFont="1" applyFill="1" applyBorder="1" applyAlignment="1">
      <alignment horizontal="center" vertical="center" wrapText="1"/>
    </xf>
    <xf numFmtId="0" fontId="85" fillId="61" borderId="61" xfId="0" applyFont="1" applyFill="1" applyBorder="1" applyAlignment="1">
      <alignment horizontal="center" vertical="center" wrapText="1"/>
    </xf>
    <xf numFmtId="0" fontId="85" fillId="61" borderId="19" xfId="0" applyFont="1" applyFill="1" applyBorder="1" applyAlignment="1">
      <alignment horizontal="center" vertical="center" wrapText="1"/>
    </xf>
    <xf numFmtId="0" fontId="85" fillId="61" borderId="62" xfId="0" applyFont="1" applyFill="1" applyBorder="1" applyAlignment="1">
      <alignment horizontal="center" vertical="center" wrapText="1"/>
    </xf>
    <xf numFmtId="0" fontId="85" fillId="61" borderId="10" xfId="0" applyFont="1" applyFill="1" applyBorder="1" applyAlignment="1">
      <alignment horizontal="center" vertical="center" wrapText="1"/>
    </xf>
    <xf numFmtId="0" fontId="84" fillId="61" borderId="56" xfId="0" applyFont="1" applyFill="1" applyBorder="1" applyAlignment="1">
      <alignment horizontal="center" vertical="center" wrapText="1"/>
    </xf>
    <xf numFmtId="0" fontId="123" fillId="61" borderId="56" xfId="0" applyFont="1" applyFill="1" applyBorder="1" applyAlignment="1">
      <alignment horizontal="center" vertical="center" wrapText="1"/>
    </xf>
    <xf numFmtId="0" fontId="53" fillId="0" borderId="57" xfId="0" applyFont="1" applyBorder="1" applyAlignment="1">
      <alignment horizontal="left"/>
    </xf>
    <xf numFmtId="0" fontId="53" fillId="0" borderId="63" xfId="0" applyFont="1" applyBorder="1" applyAlignment="1">
      <alignment horizontal="left"/>
    </xf>
    <xf numFmtId="0" fontId="53" fillId="0" borderId="58" xfId="0" applyFont="1" applyBorder="1" applyAlignment="1">
      <alignment horizontal="left"/>
    </xf>
    <xf numFmtId="0" fontId="57" fillId="0" borderId="57" xfId="0" applyFont="1" applyBorder="1" applyAlignment="1">
      <alignment horizontal="left" vertical="center"/>
    </xf>
    <xf numFmtId="0" fontId="57" fillId="0" borderId="63" xfId="0" applyFont="1" applyBorder="1" applyAlignment="1">
      <alignment horizontal="left" vertical="center"/>
    </xf>
    <xf numFmtId="0" fontId="57" fillId="0" borderId="58" xfId="0" applyFont="1" applyBorder="1" applyAlignment="1">
      <alignment horizontal="left" vertical="center"/>
    </xf>
    <xf numFmtId="0" fontId="53" fillId="0" borderId="11" xfId="0" applyFont="1" applyBorder="1" applyAlignment="1">
      <alignment horizontal="left"/>
    </xf>
    <xf numFmtId="0" fontId="53" fillId="0" borderId="22" xfId="0" applyFont="1" applyBorder="1" applyAlignment="1">
      <alignment horizontal="left"/>
    </xf>
    <xf numFmtId="0" fontId="57" fillId="0" borderId="7" xfId="0" applyFont="1" applyBorder="1" applyAlignment="1">
      <alignment horizontal="left" vertical="center" wrapText="1"/>
    </xf>
    <xf numFmtId="0" fontId="57" fillId="0" borderId="11" xfId="0" applyFont="1" applyBorder="1" applyAlignment="1">
      <alignment horizontal="left"/>
    </xf>
    <xf numFmtId="0" fontId="57" fillId="0" borderId="22" xfId="0" applyFont="1" applyBorder="1" applyAlignment="1">
      <alignment horizontal="left"/>
    </xf>
    <xf numFmtId="0" fontId="64" fillId="0" borderId="7" xfId="0" applyFont="1" applyBorder="1" applyAlignment="1">
      <alignment horizontal="center" vertical="center" wrapText="1"/>
    </xf>
    <xf numFmtId="0" fontId="84" fillId="61" borderId="62" xfId="0" applyFont="1" applyFill="1" applyBorder="1" applyAlignment="1">
      <alignment horizontal="center" vertical="center" wrapText="1"/>
    </xf>
    <xf numFmtId="0" fontId="84" fillId="61" borderId="21" xfId="0" applyFont="1" applyFill="1" applyBorder="1" applyAlignment="1">
      <alignment horizontal="center" vertical="center" wrapText="1"/>
    </xf>
    <xf numFmtId="0" fontId="84" fillId="61" borderId="10" xfId="0" applyFont="1" applyFill="1" applyBorder="1" applyAlignment="1">
      <alignment horizontal="center" vertical="center" wrapText="1"/>
    </xf>
    <xf numFmtId="9" fontId="123" fillId="61" borderId="56" xfId="591" applyFont="1" applyFill="1" applyBorder="1" applyAlignment="1">
      <alignment horizontal="center" vertical="center" wrapText="1"/>
    </xf>
    <xf numFmtId="0" fontId="57" fillId="0" borderId="59" xfId="0" applyFont="1" applyBorder="1" applyAlignment="1">
      <alignment horizontal="left" vertical="center" wrapText="1"/>
    </xf>
    <xf numFmtId="0" fontId="57" fillId="0" borderId="60" xfId="0" applyFont="1" applyBorder="1" applyAlignment="1">
      <alignment horizontal="left" vertical="center" wrapText="1"/>
    </xf>
    <xf numFmtId="0" fontId="57" fillId="0" borderId="61" xfId="0" applyFont="1" applyBorder="1" applyAlignment="1">
      <alignment horizontal="left" vertical="center" wrapText="1"/>
    </xf>
    <xf numFmtId="0" fontId="57" fillId="0" borderId="16" xfId="0" applyFont="1" applyBorder="1" applyAlignment="1">
      <alignment horizontal="left" vertical="center" wrapText="1"/>
    </xf>
    <xf numFmtId="0" fontId="57" fillId="0" borderId="0" xfId="0" applyFont="1" applyAlignment="1">
      <alignment horizontal="left" vertical="center" wrapText="1"/>
    </xf>
    <xf numFmtId="0" fontId="57" fillId="0" borderId="17" xfId="0" applyFont="1" applyBorder="1" applyAlignment="1">
      <alignment horizontal="left" vertical="center" wrapText="1"/>
    </xf>
    <xf numFmtId="0" fontId="57" fillId="0" borderId="18" xfId="0" applyFont="1" applyBorder="1" applyAlignment="1">
      <alignment horizontal="left" vertical="center" wrapText="1"/>
    </xf>
    <xf numFmtId="0" fontId="57" fillId="0" borderId="9" xfId="0" applyFont="1" applyBorder="1" applyAlignment="1">
      <alignment horizontal="left" vertical="center" wrapText="1"/>
    </xf>
    <xf numFmtId="0" fontId="57" fillId="0" borderId="19" xfId="0" applyFont="1" applyBorder="1" applyAlignment="1">
      <alignment horizontal="left" vertical="center" wrapText="1"/>
    </xf>
    <xf numFmtId="0" fontId="57" fillId="0" borderId="50" xfId="0" applyFont="1" applyBorder="1" applyAlignment="1">
      <alignment horizontal="left" vertical="center" wrapText="1"/>
    </xf>
    <xf numFmtId="0" fontId="57" fillId="0" borderId="51" xfId="0" applyFont="1" applyBorder="1" applyAlignment="1">
      <alignment horizontal="left" vertical="center" wrapText="1"/>
    </xf>
    <xf numFmtId="0" fontId="57" fillId="0" borderId="15" xfId="0" applyFont="1" applyBorder="1" applyAlignment="1">
      <alignment horizontal="left" vertical="center" wrapText="1"/>
    </xf>
    <xf numFmtId="0" fontId="66" fillId="0" borderId="59" xfId="0" applyFont="1" applyBorder="1" applyAlignment="1">
      <alignment horizontal="left" vertical="center" wrapText="1"/>
    </xf>
    <xf numFmtId="0" fontId="66" fillId="0" borderId="60" xfId="0" applyFont="1" applyBorder="1" applyAlignment="1">
      <alignment horizontal="left" vertical="center" wrapText="1"/>
    </xf>
    <xf numFmtId="0" fontId="66" fillId="0" borderId="61"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17" xfId="0" applyFont="1" applyBorder="1" applyAlignment="1">
      <alignment horizontal="left" vertical="center" wrapText="1"/>
    </xf>
    <xf numFmtId="0" fontId="66" fillId="0" borderId="18" xfId="0" applyFont="1" applyBorder="1" applyAlignment="1">
      <alignment horizontal="left" vertical="center" wrapText="1"/>
    </xf>
    <xf numFmtId="0" fontId="66" fillId="0" borderId="9" xfId="0" applyFont="1" applyBorder="1" applyAlignment="1">
      <alignment horizontal="left" vertical="center" wrapText="1"/>
    </xf>
    <xf numFmtId="0" fontId="66" fillId="0" borderId="19" xfId="0" applyFont="1" applyBorder="1" applyAlignment="1">
      <alignment horizontal="left" vertical="center" wrapText="1"/>
    </xf>
    <xf numFmtId="0" fontId="66" fillId="0" borderId="7" xfId="0" applyFont="1" applyBorder="1" applyAlignment="1">
      <alignment horizontal="center" vertical="center"/>
    </xf>
    <xf numFmtId="0" fontId="66" fillId="0" borderId="7" xfId="0" applyFont="1" applyBorder="1" applyAlignment="1">
      <alignment horizontal="left" vertical="center" wrapText="1"/>
    </xf>
    <xf numFmtId="0" fontId="57" fillId="0" borderId="11" xfId="0" applyFont="1" applyBorder="1" applyAlignment="1">
      <alignment horizontal="left" vertical="top"/>
    </xf>
    <xf numFmtId="0" fontId="57" fillId="0" borderId="63" xfId="0" applyFont="1" applyBorder="1" applyAlignment="1">
      <alignment horizontal="left" vertical="top"/>
    </xf>
    <xf numFmtId="0" fontId="57" fillId="0" borderId="22" xfId="0" applyFont="1" applyBorder="1" applyAlignment="1">
      <alignment horizontal="left" vertical="top"/>
    </xf>
    <xf numFmtId="0" fontId="128" fillId="0" borderId="1" xfId="0" applyFont="1" applyBorder="1" applyAlignment="1">
      <alignment horizontal="center" vertical="center"/>
    </xf>
    <xf numFmtId="0" fontId="128" fillId="0" borderId="2" xfId="0" applyFont="1" applyBorder="1" applyAlignment="1">
      <alignment horizontal="center" vertical="center"/>
    </xf>
    <xf numFmtId="0" fontId="128" fillId="0" borderId="3" xfId="0" applyFont="1" applyBorder="1" applyAlignment="1">
      <alignment horizontal="center" vertical="center"/>
    </xf>
    <xf numFmtId="0" fontId="128" fillId="0" borderId="4" xfId="0" applyFont="1" applyBorder="1" applyAlignment="1">
      <alignment horizontal="center" vertical="center"/>
    </xf>
    <xf numFmtId="0" fontId="128" fillId="0" borderId="5" xfId="0" applyFont="1" applyBorder="1" applyAlignment="1">
      <alignment horizontal="center" vertical="center"/>
    </xf>
    <xf numFmtId="0" fontId="128" fillId="0" borderId="6" xfId="0" applyFont="1" applyBorder="1" applyAlignment="1">
      <alignment horizontal="center" vertical="center"/>
    </xf>
    <xf numFmtId="0" fontId="57" fillId="0" borderId="18" xfId="0" applyFont="1" applyBorder="1" applyAlignment="1">
      <alignment horizontal="left" vertical="center"/>
    </xf>
    <xf numFmtId="0" fontId="57" fillId="0" borderId="9" xfId="0" applyFont="1" applyBorder="1" applyAlignment="1">
      <alignment horizontal="left" vertical="center"/>
    </xf>
    <xf numFmtId="0" fontId="57" fillId="0" borderId="19" xfId="0" applyFont="1" applyBorder="1" applyAlignment="1">
      <alignment horizontal="left" vertical="center"/>
    </xf>
    <xf numFmtId="0" fontId="84" fillId="61" borderId="62" xfId="0" applyFont="1" applyFill="1" applyBorder="1" applyAlignment="1">
      <alignment horizontal="center" vertical="center"/>
    </xf>
    <xf numFmtId="0" fontId="84" fillId="61" borderId="21" xfId="0" applyFont="1" applyFill="1" applyBorder="1" applyAlignment="1">
      <alignment horizontal="center" vertical="center"/>
    </xf>
    <xf numFmtId="0" fontId="84" fillId="61" borderId="10" xfId="0" applyFont="1" applyFill="1" applyBorder="1" applyAlignment="1">
      <alignment horizontal="center" vertical="center"/>
    </xf>
    <xf numFmtId="0" fontId="67" fillId="0" borderId="11" xfId="0" applyFont="1" applyBorder="1" applyAlignment="1">
      <alignment horizontal="center"/>
    </xf>
    <xf numFmtId="0" fontId="67" fillId="0" borderId="12" xfId="0" applyFont="1" applyBorder="1" applyAlignment="1">
      <alignment horizontal="center"/>
    </xf>
    <xf numFmtId="0" fontId="67" fillId="0" borderId="63" xfId="0" applyFont="1" applyBorder="1" applyAlignment="1">
      <alignment horizontal="center"/>
    </xf>
    <xf numFmtId="0" fontId="67" fillId="0" borderId="22" xfId="0" applyFont="1" applyBorder="1" applyAlignment="1">
      <alignment horizontal="center"/>
    </xf>
    <xf numFmtId="0" fontId="57" fillId="0" borderId="11" xfId="0" applyFont="1" applyBorder="1" applyAlignment="1">
      <alignment horizontal="left" vertical="center"/>
    </xf>
    <xf numFmtId="0" fontId="57" fillId="0" borderId="22" xfId="0" applyFont="1" applyBorder="1" applyAlignment="1">
      <alignment horizontal="left" vertical="center"/>
    </xf>
    <xf numFmtId="0" fontId="66" fillId="0" borderId="20" xfId="0" applyFont="1" applyBorder="1" applyAlignment="1">
      <alignment horizontal="center" vertical="center"/>
    </xf>
    <xf numFmtId="0" fontId="66" fillId="0" borderId="50" xfId="0" applyFont="1" applyBorder="1" applyAlignment="1">
      <alignment horizontal="left" vertical="center" wrapText="1"/>
    </xf>
    <xf numFmtId="0" fontId="66" fillId="0" borderId="51" xfId="0" applyFont="1" applyBorder="1" applyAlignment="1">
      <alignment horizontal="left" vertical="center" wrapText="1"/>
    </xf>
    <xf numFmtId="0" fontId="66" fillId="0" borderId="15" xfId="0" applyFont="1" applyBorder="1" applyAlignment="1">
      <alignment horizontal="left" vertical="center" wrapText="1"/>
    </xf>
    <xf numFmtId="0" fontId="65" fillId="0" borderId="50" xfId="0" applyFont="1" applyBorder="1" applyAlignment="1">
      <alignment horizontal="left" vertical="center" wrapText="1"/>
    </xf>
    <xf numFmtId="0" fontId="65" fillId="0" borderId="51" xfId="0" applyFont="1" applyBorder="1" applyAlignment="1">
      <alignment horizontal="left" vertical="center" wrapText="1"/>
    </xf>
    <xf numFmtId="0" fontId="65" fillId="0" borderId="15" xfId="0" applyFont="1" applyBorder="1" applyAlignment="1">
      <alignment horizontal="left" vertical="center" wrapText="1"/>
    </xf>
    <xf numFmtId="0" fontId="65" fillId="0" borderId="16" xfId="0" applyFont="1" applyBorder="1" applyAlignment="1">
      <alignment horizontal="left" vertical="center" wrapText="1"/>
    </xf>
    <xf numFmtId="0" fontId="65" fillId="0" borderId="0" xfId="0" applyFont="1" applyAlignment="1">
      <alignment horizontal="left" vertical="center" wrapText="1"/>
    </xf>
    <xf numFmtId="0" fontId="65" fillId="0" borderId="17" xfId="0" applyFont="1" applyBorder="1" applyAlignment="1">
      <alignment horizontal="left" vertical="center" wrapText="1"/>
    </xf>
    <xf numFmtId="0" fontId="65" fillId="0" borderId="18" xfId="0" applyFont="1" applyBorder="1" applyAlignment="1">
      <alignment horizontal="left" vertical="center" wrapText="1"/>
    </xf>
    <xf numFmtId="0" fontId="65" fillId="0" borderId="9" xfId="0" applyFont="1" applyBorder="1" applyAlignment="1">
      <alignment horizontal="left" vertical="center" wrapText="1"/>
    </xf>
    <xf numFmtId="0" fontId="65" fillId="0" borderId="19" xfId="0" applyFont="1" applyBorder="1" applyAlignment="1">
      <alignment horizontal="left" vertical="center" wrapText="1"/>
    </xf>
    <xf numFmtId="0" fontId="67" fillId="0" borderId="0" xfId="0" applyFont="1" applyAlignment="1">
      <alignment horizontal="center"/>
    </xf>
    <xf numFmtId="0" fontId="57" fillId="0" borderId="7" xfId="0" applyFont="1" applyBorder="1" applyAlignment="1">
      <alignment horizontal="left" vertical="center"/>
    </xf>
    <xf numFmtId="0" fontId="57" fillId="0" borderId="56" xfId="0" applyFont="1" applyBorder="1" applyAlignment="1">
      <alignment horizontal="left" vertical="center"/>
    </xf>
    <xf numFmtId="0" fontId="64" fillId="0" borderId="50" xfId="0" applyFont="1" applyBorder="1" applyAlignment="1">
      <alignment horizontal="center" vertical="center" wrapText="1"/>
    </xf>
    <xf numFmtId="0" fontId="64" fillId="0" borderId="51" xfId="0" applyFont="1" applyBorder="1" applyAlignment="1">
      <alignment horizontal="center" vertical="center" wrapText="1"/>
    </xf>
    <xf numFmtId="0" fontId="64" fillId="0" borderId="15" xfId="0" applyFont="1" applyBorder="1" applyAlignment="1">
      <alignment horizontal="center" vertical="center" wrapText="1"/>
    </xf>
    <xf numFmtId="2" fontId="62" fillId="0" borderId="7" xfId="0" applyNumberFormat="1" applyFont="1" applyBorder="1" applyAlignment="1">
      <alignment horizontal="center" vertical="center"/>
    </xf>
    <xf numFmtId="0" fontId="62" fillId="0" borderId="7" xfId="0" applyFont="1" applyBorder="1" applyAlignment="1">
      <alignment horizontal="center"/>
    </xf>
    <xf numFmtId="0" fontId="62" fillId="0" borderId="56" xfId="0" applyFont="1" applyBorder="1" applyAlignment="1">
      <alignment horizontal="center"/>
    </xf>
    <xf numFmtId="0" fontId="57" fillId="0" borderId="58" xfId="0" applyFont="1" applyBorder="1" applyAlignment="1">
      <alignment horizontal="left"/>
    </xf>
    <xf numFmtId="0" fontId="55" fillId="0" borderId="57" xfId="0" applyFont="1" applyBorder="1" applyAlignment="1">
      <alignment horizontal="center" vertical="center"/>
    </xf>
    <xf numFmtId="0" fontId="55" fillId="0" borderId="63" xfId="0" applyFont="1" applyBorder="1" applyAlignment="1">
      <alignment horizontal="center" vertical="center"/>
    </xf>
    <xf numFmtId="0" fontId="55" fillId="0" borderId="58" xfId="0" applyFont="1" applyBorder="1" applyAlignment="1">
      <alignment horizontal="center" vertical="center"/>
    </xf>
    <xf numFmtId="0" fontId="55" fillId="0" borderId="7" xfId="0" applyFont="1" applyBorder="1" applyAlignment="1">
      <alignment horizontal="center"/>
    </xf>
    <xf numFmtId="0" fontId="65" fillId="0" borderId="59" xfId="0" applyFont="1" applyBorder="1" applyAlignment="1">
      <alignment horizontal="center" vertical="center" wrapText="1"/>
    </xf>
    <xf numFmtId="0" fontId="65" fillId="0" borderId="60" xfId="0" applyFont="1" applyBorder="1" applyAlignment="1">
      <alignment horizontal="center" vertical="center" wrapText="1"/>
    </xf>
    <xf numFmtId="0" fontId="65" fillId="0" borderId="61"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0" xfId="0" applyFont="1" applyAlignment="1">
      <alignment horizontal="center" vertical="center" wrapText="1"/>
    </xf>
    <xf numFmtId="0" fontId="65" fillId="0" borderId="17" xfId="0" applyFont="1" applyBorder="1" applyAlignment="1">
      <alignment horizontal="center" vertical="center" wrapText="1"/>
    </xf>
    <xf numFmtId="0" fontId="65" fillId="0" borderId="18"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19" xfId="0" applyFont="1" applyBorder="1" applyAlignment="1">
      <alignment horizontal="center" vertical="center" wrapText="1"/>
    </xf>
    <xf numFmtId="0" fontId="65" fillId="0" borderId="7" xfId="0" applyFont="1" applyBorder="1" applyAlignment="1">
      <alignment horizontal="center" vertical="center" wrapText="1"/>
    </xf>
    <xf numFmtId="0" fontId="85" fillId="61" borderId="62" xfId="0" applyFont="1" applyFill="1" applyBorder="1" applyAlignment="1">
      <alignment horizontal="center" vertical="center"/>
    </xf>
    <xf numFmtId="0" fontId="85" fillId="61" borderId="21" xfId="0" applyFont="1" applyFill="1" applyBorder="1" applyAlignment="1">
      <alignment horizontal="center" vertical="center"/>
    </xf>
    <xf numFmtId="0" fontId="85" fillId="61" borderId="10" xfId="0" applyFont="1" applyFill="1" applyBorder="1" applyAlignment="1">
      <alignment horizontal="center" vertical="center"/>
    </xf>
    <xf numFmtId="0" fontId="85" fillId="61" borderId="61" xfId="0" applyFont="1" applyFill="1" applyBorder="1" applyAlignment="1">
      <alignment horizontal="center" vertical="center"/>
    </xf>
    <xf numFmtId="0" fontId="85" fillId="61" borderId="17" xfId="0" applyFont="1" applyFill="1" applyBorder="1" applyAlignment="1">
      <alignment horizontal="center" vertical="center"/>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9" xfId="0" applyFont="1" applyBorder="1" applyAlignment="1">
      <alignment horizontal="left" vertical="center" wrapText="1"/>
    </xf>
    <xf numFmtId="0" fontId="23" fillId="0" borderId="19" xfId="0" applyFont="1" applyBorder="1" applyAlignment="1">
      <alignment horizontal="left" vertical="center" wrapText="1"/>
    </xf>
    <xf numFmtId="0" fontId="66" fillId="0" borderId="56" xfId="0" applyFont="1" applyBorder="1" applyAlignment="1">
      <alignment horizontal="center" vertical="center"/>
    </xf>
    <xf numFmtId="0" fontId="64" fillId="0" borderId="56" xfId="0" applyFont="1" applyBorder="1" applyAlignment="1">
      <alignment horizontal="center" vertical="center" wrapText="1"/>
    </xf>
    <xf numFmtId="0" fontId="85" fillId="61" borderId="56" xfId="0" applyFont="1" applyFill="1" applyBorder="1" applyAlignment="1">
      <alignment horizontal="center" vertical="center"/>
    </xf>
    <xf numFmtId="0" fontId="66" fillId="0" borderId="7" xfId="0" applyFont="1" applyBorder="1" applyAlignment="1">
      <alignment vertical="center" wrapText="1"/>
    </xf>
    <xf numFmtId="0" fontId="53" fillId="0" borderId="50" xfId="0" applyFont="1" applyBorder="1" applyAlignment="1">
      <alignment horizontal="left" vertical="center" wrapText="1"/>
    </xf>
    <xf numFmtId="0" fontId="53" fillId="0" borderId="15" xfId="0" applyFont="1" applyBorder="1" applyAlignment="1">
      <alignment horizontal="left"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5" xfId="0" applyFont="1" applyBorder="1" applyAlignment="1">
      <alignment horizontal="center" vertical="center" wrapText="1"/>
    </xf>
    <xf numFmtId="0" fontId="66" fillId="0" borderId="56" xfId="0" applyFont="1" applyBorder="1" applyAlignment="1">
      <alignment horizontal="center" vertical="center" wrapText="1"/>
    </xf>
    <xf numFmtId="0" fontId="64" fillId="0" borderId="59" xfId="0" applyFont="1" applyBorder="1" applyAlignment="1">
      <alignment horizontal="center" vertical="top" wrapText="1"/>
    </xf>
    <xf numFmtId="0" fontId="64" fillId="0" borderId="60" xfId="0" applyFont="1" applyBorder="1" applyAlignment="1">
      <alignment horizontal="center" vertical="top" wrapText="1"/>
    </xf>
    <xf numFmtId="0" fontId="64" fillId="0" borderId="61" xfId="0" applyFont="1" applyBorder="1" applyAlignment="1">
      <alignment horizontal="center" vertical="top" wrapText="1"/>
    </xf>
    <xf numFmtId="0" fontId="64" fillId="0" borderId="16" xfId="0" applyFont="1" applyBorder="1" applyAlignment="1">
      <alignment horizontal="center" vertical="top" wrapText="1"/>
    </xf>
    <xf numFmtId="0" fontId="64" fillId="0" borderId="0" xfId="0" applyFont="1" applyAlignment="1">
      <alignment horizontal="center" vertical="top" wrapText="1"/>
    </xf>
    <xf numFmtId="0" fontId="64" fillId="0" borderId="17" xfId="0" applyFont="1" applyBorder="1" applyAlignment="1">
      <alignment horizontal="center" vertical="top" wrapText="1"/>
    </xf>
    <xf numFmtId="0" fontId="64" fillId="0" borderId="18" xfId="0" applyFont="1" applyBorder="1" applyAlignment="1">
      <alignment horizontal="center" vertical="top" wrapText="1"/>
    </xf>
    <xf numFmtId="0" fontId="64" fillId="0" borderId="9" xfId="0" applyFont="1" applyBorder="1" applyAlignment="1">
      <alignment horizontal="center" vertical="top" wrapText="1"/>
    </xf>
    <xf numFmtId="0" fontId="64" fillId="0" borderId="19" xfId="0" applyFont="1" applyBorder="1" applyAlignment="1">
      <alignment horizontal="center" vertical="top" wrapText="1"/>
    </xf>
    <xf numFmtId="0" fontId="71" fillId="0" borderId="56" xfId="0" applyFont="1" applyBorder="1" applyAlignment="1">
      <alignment horizontal="center" vertical="center"/>
    </xf>
    <xf numFmtId="0" fontId="53" fillId="0" borderId="56" xfId="0" applyFont="1" applyBorder="1" applyAlignment="1">
      <alignment horizontal="center" vertical="center" wrapText="1"/>
    </xf>
    <xf numFmtId="0" fontId="53" fillId="0" borderId="7" xfId="0" applyFont="1" applyBorder="1" applyAlignment="1">
      <alignment horizontal="left" vertical="center" wrapText="1"/>
    </xf>
    <xf numFmtId="0" fontId="71" fillId="0" borderId="56" xfId="0" applyFont="1" applyBorder="1" applyAlignment="1">
      <alignment horizontal="left" vertical="center" wrapText="1"/>
    </xf>
    <xf numFmtId="2" fontId="71" fillId="0" borderId="56" xfId="0" applyNumberFormat="1" applyFont="1" applyBorder="1" applyAlignment="1">
      <alignment horizontal="center" vertical="center"/>
    </xf>
    <xf numFmtId="0" fontId="71" fillId="0" borderId="59" xfId="0" applyFont="1" applyBorder="1" applyAlignment="1">
      <alignment horizontal="left" vertical="center" wrapText="1"/>
    </xf>
    <xf numFmtId="0" fontId="71" fillId="0" borderId="60" xfId="0" applyFont="1" applyBorder="1" applyAlignment="1">
      <alignment horizontal="left" vertical="center" wrapText="1"/>
    </xf>
    <xf numFmtId="0" fontId="71" fillId="0" borderId="61" xfId="0" applyFont="1" applyBorder="1" applyAlignment="1">
      <alignment horizontal="left" vertical="center" wrapText="1"/>
    </xf>
    <xf numFmtId="0" fontId="71" fillId="0" borderId="16" xfId="0" applyFont="1" applyBorder="1" applyAlignment="1">
      <alignment horizontal="left" vertical="center" wrapText="1"/>
    </xf>
    <xf numFmtId="0" fontId="71" fillId="0" borderId="0" xfId="0" applyFont="1" applyAlignment="1">
      <alignment horizontal="left" vertical="center" wrapText="1"/>
    </xf>
    <xf numFmtId="0" fontId="71" fillId="0" borderId="17" xfId="0" applyFont="1" applyBorder="1" applyAlignment="1">
      <alignment horizontal="left" vertical="center" wrapText="1"/>
    </xf>
    <xf numFmtId="0" fontId="71" fillId="0" borderId="18" xfId="0" applyFont="1" applyBorder="1" applyAlignment="1">
      <alignment horizontal="left" vertical="center" wrapText="1"/>
    </xf>
    <xf numFmtId="0" fontId="71" fillId="0" borderId="9" xfId="0" applyFont="1" applyBorder="1" applyAlignment="1">
      <alignment horizontal="left" vertical="center" wrapText="1"/>
    </xf>
    <xf numFmtId="0" fontId="71" fillId="0" borderId="19" xfId="0" applyFont="1" applyBorder="1" applyAlignment="1">
      <alignment horizontal="left" vertical="center" wrapText="1"/>
    </xf>
    <xf numFmtId="0" fontId="53" fillId="0" borderId="56" xfId="0" applyFont="1" applyBorder="1" applyAlignment="1">
      <alignment horizontal="center" vertical="center"/>
      <extLst>
        <ext xmlns:xfpb="http://schemas.microsoft.com/office/spreadsheetml/2022/featurepropertybag" uri="{C7286773-470A-42A8-94C5-96B5CB345126}">
          <xfpb:xfComplement i="0"/>
        </ext>
      </extLst>
    </xf>
    <xf numFmtId="0" fontId="53" fillId="0" borderId="59" xfId="0" applyFont="1" applyBorder="1" applyAlignment="1">
      <alignment horizontal="center" vertical="center" wrapText="1"/>
    </xf>
    <xf numFmtId="0" fontId="53" fillId="0" borderId="60" xfId="0" applyFont="1" applyBorder="1" applyAlignment="1">
      <alignment horizontal="center" vertical="center" wrapText="1"/>
    </xf>
    <xf numFmtId="0" fontId="53" fillId="0" borderId="61"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0" xfId="0" applyFont="1" applyAlignment="1">
      <alignment horizontal="center" vertical="center" wrapText="1"/>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59" xfId="0" applyFont="1" applyBorder="1" applyAlignment="1">
      <alignment horizontal="left" vertical="center"/>
    </xf>
    <xf numFmtId="0" fontId="53" fillId="0" borderId="61"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71" fillId="0" borderId="62" xfId="0" applyFont="1" applyBorder="1" applyAlignment="1">
      <alignment horizontal="center" vertical="center"/>
    </xf>
    <xf numFmtId="0" fontId="71" fillId="0" borderId="21" xfId="0" applyFont="1" applyBorder="1" applyAlignment="1">
      <alignment horizontal="center" vertical="center"/>
    </xf>
    <xf numFmtId="0" fontId="71" fillId="0" borderId="10" xfId="0" applyFont="1" applyBorder="1" applyAlignment="1">
      <alignment horizontal="center" vertical="center"/>
    </xf>
    <xf numFmtId="0" fontId="53" fillId="0" borderId="56" xfId="0" applyFont="1" applyBorder="1" applyAlignment="1">
      <alignment horizontal="left" vertical="center"/>
    </xf>
    <xf numFmtId="0" fontId="71" fillId="0" borderId="59" xfId="0" applyFont="1" applyBorder="1" applyAlignment="1">
      <alignment horizontal="center" vertical="center" wrapText="1"/>
    </xf>
    <xf numFmtId="0" fontId="71" fillId="0" borderId="60" xfId="0" applyFont="1" applyBorder="1" applyAlignment="1">
      <alignment horizontal="center" vertical="center" wrapText="1"/>
    </xf>
    <xf numFmtId="0" fontId="71" fillId="0" borderId="61"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0" xfId="0" applyFont="1" applyAlignment="1">
      <alignment horizontal="center" vertical="center" wrapText="1"/>
    </xf>
    <xf numFmtId="0" fontId="71" fillId="0" borderId="17"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19" xfId="0" applyFont="1" applyBorder="1" applyAlignment="1">
      <alignment horizontal="center" vertical="center" wrapText="1"/>
    </xf>
    <xf numFmtId="9" fontId="89" fillId="0" borderId="57" xfId="0" applyNumberFormat="1" applyFont="1" applyBorder="1" applyAlignment="1">
      <alignment horizontal="center"/>
    </xf>
    <xf numFmtId="9" fontId="89" fillId="0" borderId="58" xfId="0" applyNumberFormat="1" applyFont="1" applyBorder="1" applyAlignment="1">
      <alignment horizontal="center"/>
    </xf>
    <xf numFmtId="0" fontId="55" fillId="0" borderId="57" xfId="0" applyFont="1" applyBorder="1" applyAlignment="1">
      <alignment horizontal="center"/>
    </xf>
    <xf numFmtId="0" fontId="55" fillId="0" borderId="63" xfId="0" applyFont="1" applyBorder="1" applyAlignment="1">
      <alignment horizontal="center"/>
    </xf>
    <xf numFmtId="0" fontId="55" fillId="0" borderId="58" xfId="0" applyFont="1" applyBorder="1" applyAlignment="1">
      <alignment horizontal="center"/>
    </xf>
    <xf numFmtId="0" fontId="53" fillId="0" borderId="51" xfId="0" applyFont="1" applyBorder="1" applyAlignment="1">
      <alignment horizontal="left" vertical="center" wrapText="1"/>
    </xf>
    <xf numFmtId="0" fontId="70" fillId="0" borderId="59" xfId="0" applyFont="1" applyBorder="1" applyAlignment="1">
      <alignment horizontal="left" vertical="center" wrapText="1"/>
    </xf>
    <xf numFmtId="0" fontId="70" fillId="0" borderId="60" xfId="0" applyFont="1" applyBorder="1" applyAlignment="1">
      <alignment horizontal="left" vertical="center" wrapText="1"/>
    </xf>
    <xf numFmtId="0" fontId="70" fillId="0" borderId="61"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Alignment="1">
      <alignment horizontal="left" vertical="center" wrapText="1"/>
    </xf>
    <xf numFmtId="0" fontId="70" fillId="0" borderId="17" xfId="0" applyFont="1" applyBorder="1" applyAlignment="1">
      <alignment horizontal="left" vertical="center" wrapText="1"/>
    </xf>
    <xf numFmtId="0" fontId="70" fillId="0" borderId="18" xfId="0" applyFont="1" applyBorder="1" applyAlignment="1">
      <alignment horizontal="left" vertical="center" wrapText="1"/>
    </xf>
    <xf numFmtId="0" fontId="70" fillId="0" borderId="9" xfId="0" applyFont="1" applyBorder="1" applyAlignment="1">
      <alignment horizontal="left" vertical="center" wrapText="1"/>
    </xf>
    <xf numFmtId="0" fontId="70" fillId="0" borderId="19" xfId="0" applyFont="1" applyBorder="1" applyAlignment="1">
      <alignment horizontal="left" vertical="center" wrapText="1"/>
    </xf>
    <xf numFmtId="0" fontId="71" fillId="0" borderId="56" xfId="0" applyFont="1" applyBorder="1" applyAlignment="1">
      <alignment horizontal="center" vertical="center" wrapText="1"/>
    </xf>
    <xf numFmtId="0" fontId="76" fillId="0" borderId="59" xfId="0" applyFont="1" applyBorder="1" applyAlignment="1">
      <alignment horizontal="center" vertical="center" wrapText="1"/>
    </xf>
    <xf numFmtId="0" fontId="76" fillId="0" borderId="60" xfId="0" applyFont="1" applyBorder="1" applyAlignment="1">
      <alignment horizontal="center" vertical="center" wrapText="1"/>
    </xf>
    <xf numFmtId="0" fontId="76" fillId="0" borderId="61"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0" xfId="0" applyFont="1" applyAlignment="1">
      <alignment horizontal="center" vertical="center" wrapText="1"/>
    </xf>
    <xf numFmtId="0" fontId="76" fillId="0" borderId="17"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9" xfId="0" applyFont="1" applyBorder="1" applyAlignment="1">
      <alignment horizontal="center" vertical="center" wrapText="1"/>
    </xf>
    <xf numFmtId="0" fontId="102" fillId="0" borderId="59" xfId="0" applyFont="1" applyBorder="1" applyAlignment="1">
      <alignment horizontal="center" vertical="center" wrapText="1"/>
    </xf>
    <xf numFmtId="0" fontId="102" fillId="0" borderId="60" xfId="0" applyFont="1" applyBorder="1" applyAlignment="1">
      <alignment horizontal="center" vertical="center" wrapText="1"/>
    </xf>
    <xf numFmtId="0" fontId="102" fillId="0" borderId="61"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0" xfId="0" applyFont="1" applyAlignment="1">
      <alignment horizontal="center" vertical="center" wrapText="1"/>
    </xf>
    <xf numFmtId="0" fontId="102" fillId="0" borderId="17"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9" xfId="0" applyFont="1" applyBorder="1" applyAlignment="1">
      <alignment horizontal="center" vertical="center" wrapText="1"/>
    </xf>
    <xf numFmtId="0" fontId="102" fillId="0" borderId="19"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56" xfId="0" applyFont="1" applyBorder="1" applyAlignment="1">
      <alignment horizontal="left" vertical="center" wrapText="1"/>
    </xf>
    <xf numFmtId="0" fontId="53" fillId="0" borderId="9" xfId="0" applyFont="1" applyBorder="1" applyAlignment="1">
      <alignment horizontal="left" vertical="center"/>
    </xf>
    <xf numFmtId="0" fontId="52" fillId="0" borderId="56" xfId="0" applyFont="1" applyBorder="1" applyAlignment="1">
      <alignment horizontal="left" vertical="center"/>
    </xf>
    <xf numFmtId="0" fontId="76" fillId="0" borderId="59" xfId="0" applyFont="1" applyBorder="1" applyAlignment="1">
      <alignment horizontal="center" wrapText="1"/>
    </xf>
    <xf numFmtId="0" fontId="76" fillId="0" borderId="60" xfId="0" applyFont="1" applyBorder="1" applyAlignment="1">
      <alignment horizontal="center" wrapText="1"/>
    </xf>
    <xf numFmtId="0" fontId="76" fillId="0" borderId="61" xfId="0" applyFont="1" applyBorder="1" applyAlignment="1">
      <alignment horizontal="center" wrapText="1"/>
    </xf>
    <xf numFmtId="0" fontId="76" fillId="0" borderId="16" xfId="0" applyFont="1" applyBorder="1" applyAlignment="1">
      <alignment horizontal="center" wrapText="1"/>
    </xf>
    <xf numFmtId="0" fontId="76" fillId="0" borderId="0" xfId="0" applyFont="1" applyAlignment="1">
      <alignment horizontal="center" wrapText="1"/>
    </xf>
    <xf numFmtId="0" fontId="76" fillId="0" borderId="17" xfId="0" applyFont="1" applyBorder="1" applyAlignment="1">
      <alignment horizontal="center" wrapText="1"/>
    </xf>
    <xf numFmtId="0" fontId="76" fillId="0" borderId="18" xfId="0" applyFont="1" applyBorder="1" applyAlignment="1">
      <alignment horizontal="center" wrapText="1"/>
    </xf>
    <xf numFmtId="0" fontId="76" fillId="0" borderId="9" xfId="0" applyFont="1" applyBorder="1" applyAlignment="1">
      <alignment horizontal="center" wrapText="1"/>
    </xf>
    <xf numFmtId="0" fontId="76" fillId="0" borderId="19" xfId="0" applyFont="1" applyBorder="1" applyAlignment="1">
      <alignment horizont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45" fillId="0" borderId="61"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9" xfId="0" applyFont="1" applyBorder="1" applyAlignment="1">
      <alignment horizontal="left" vertical="center" wrapText="1"/>
    </xf>
    <xf numFmtId="0" fontId="45" fillId="0" borderId="19" xfId="0" applyFont="1" applyBorder="1" applyAlignment="1">
      <alignment horizontal="left" vertical="center" wrapText="1"/>
    </xf>
    <xf numFmtId="0" fontId="46" fillId="0" borderId="59"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16" xfId="0" applyFont="1" applyBorder="1" applyAlignment="1">
      <alignment horizontal="left" vertical="center" wrapText="1"/>
    </xf>
    <xf numFmtId="0" fontId="46" fillId="0" borderId="0" xfId="0" applyFont="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9" xfId="0" applyFont="1" applyBorder="1" applyAlignment="1">
      <alignment horizontal="left" vertical="center" wrapText="1"/>
    </xf>
    <xf numFmtId="0" fontId="46" fillId="0" borderId="19" xfId="0" applyFont="1" applyBorder="1" applyAlignment="1">
      <alignment horizontal="left" vertical="center" wrapText="1"/>
    </xf>
    <xf numFmtId="0" fontId="57" fillId="0" borderId="59"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8" xfId="0" applyFont="1" applyBorder="1" applyAlignment="1">
      <alignment horizontal="center" vertical="center" wrapText="1"/>
    </xf>
    <xf numFmtId="0" fontId="84" fillId="61" borderId="61" xfId="0" applyFont="1" applyFill="1" applyBorder="1" applyAlignment="1">
      <alignment horizontal="center" vertical="center"/>
    </xf>
    <xf numFmtId="0" fontId="84" fillId="61" borderId="17" xfId="0" applyFont="1" applyFill="1" applyBorder="1" applyAlignment="1">
      <alignment horizontal="center" vertical="center"/>
    </xf>
    <xf numFmtId="0" fontId="84" fillId="61" borderId="19" xfId="0" applyFont="1" applyFill="1" applyBorder="1" applyAlignment="1">
      <alignment horizontal="center" vertical="center"/>
    </xf>
    <xf numFmtId="0" fontId="46" fillId="0" borderId="5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0" xfId="0" applyFont="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9" xfId="0" applyFont="1" applyBorder="1" applyAlignment="1">
      <alignment horizontal="center" vertical="center" wrapText="1"/>
    </xf>
    <xf numFmtId="0" fontId="84" fillId="61" borderId="57" xfId="0" applyFont="1" applyFill="1" applyBorder="1" applyAlignment="1">
      <alignment horizontal="center" vertical="center"/>
    </xf>
    <xf numFmtId="0" fontId="84" fillId="61" borderId="63" xfId="0" applyFont="1" applyFill="1" applyBorder="1" applyAlignment="1">
      <alignment horizontal="center" vertical="center"/>
    </xf>
    <xf numFmtId="0" fontId="84" fillId="61" borderId="58" xfId="0" applyFont="1" applyFill="1" applyBorder="1" applyAlignment="1">
      <alignment horizontal="center" vertical="center"/>
    </xf>
    <xf numFmtId="0" fontId="63" fillId="67" borderId="57" xfId="0" applyFont="1" applyFill="1" applyBorder="1" applyAlignment="1">
      <alignment horizontal="center" vertical="center"/>
    </xf>
    <xf numFmtId="0" fontId="63" fillId="67" borderId="58" xfId="0" applyFont="1" applyFill="1" applyBorder="1" applyAlignment="1">
      <alignment horizontal="center" vertical="center"/>
    </xf>
    <xf numFmtId="9" fontId="63" fillId="67" borderId="57" xfId="0" applyNumberFormat="1" applyFont="1" applyFill="1" applyBorder="1" applyAlignment="1">
      <alignment horizontal="center" vertical="center"/>
    </xf>
    <xf numFmtId="0" fontId="53" fillId="0" borderId="116" xfId="0" applyFont="1" applyBorder="1" applyAlignment="1">
      <alignment horizontal="center" vertical="center"/>
    </xf>
    <xf numFmtId="0" fontId="55" fillId="67" borderId="59" xfId="0" applyFont="1" applyFill="1" applyBorder="1" applyAlignment="1">
      <alignment horizontal="center" vertical="center"/>
    </xf>
    <xf numFmtId="0" fontId="55" fillId="67" borderId="60" xfId="0" applyFont="1" applyFill="1" applyBorder="1" applyAlignment="1">
      <alignment horizontal="center" vertical="center"/>
    </xf>
    <xf numFmtId="0" fontId="55" fillId="67" borderId="61" xfId="0" applyFont="1" applyFill="1" applyBorder="1" applyAlignment="1">
      <alignment horizontal="center" vertical="center"/>
    </xf>
    <xf numFmtId="0" fontId="55" fillId="67" borderId="18" xfId="0" applyFont="1" applyFill="1" applyBorder="1" applyAlignment="1">
      <alignment horizontal="center" vertical="center"/>
    </xf>
    <xf numFmtId="0" fontId="55" fillId="67" borderId="9" xfId="0" applyFont="1" applyFill="1" applyBorder="1" applyAlignment="1">
      <alignment horizontal="center" vertical="center"/>
    </xf>
    <xf numFmtId="0" fontId="55" fillId="67" borderId="19" xfId="0" applyFont="1" applyFill="1" applyBorder="1" applyAlignment="1">
      <alignment horizontal="center" vertical="center"/>
    </xf>
    <xf numFmtId="0" fontId="64" fillId="0" borderId="59" xfId="0" applyFont="1" applyBorder="1" applyAlignment="1">
      <alignment horizontal="center" wrapText="1"/>
    </xf>
    <xf numFmtId="0" fontId="64" fillId="0" borderId="60" xfId="0" applyFont="1" applyBorder="1" applyAlignment="1">
      <alignment horizontal="center" wrapText="1"/>
    </xf>
    <xf numFmtId="0" fontId="64" fillId="0" borderId="61" xfId="0" applyFont="1" applyBorder="1" applyAlignment="1">
      <alignment horizontal="center" wrapText="1"/>
    </xf>
    <xf numFmtId="0" fontId="64" fillId="0" borderId="16" xfId="0" applyFont="1" applyBorder="1" applyAlignment="1">
      <alignment horizontal="center" wrapText="1"/>
    </xf>
    <xf numFmtId="0" fontId="64" fillId="0" borderId="0" xfId="0" applyFont="1" applyAlignment="1">
      <alignment horizontal="center" wrapText="1"/>
    </xf>
    <xf numFmtId="0" fontId="64" fillId="0" borderId="17" xfId="0" applyFont="1" applyBorder="1" applyAlignment="1">
      <alignment horizontal="center" wrapText="1"/>
    </xf>
    <xf numFmtId="0" fontId="64" fillId="0" borderId="18" xfId="0" applyFont="1" applyBorder="1" applyAlignment="1">
      <alignment horizontal="center" wrapText="1"/>
    </xf>
    <xf numFmtId="0" fontId="64" fillId="0" borderId="9" xfId="0" applyFont="1" applyBorder="1" applyAlignment="1">
      <alignment horizontal="center" wrapText="1"/>
    </xf>
    <xf numFmtId="0" fontId="64" fillId="0" borderId="19" xfId="0" applyFont="1" applyBorder="1" applyAlignment="1">
      <alignment horizontal="center" wrapText="1"/>
    </xf>
    <xf numFmtId="0" fontId="63" fillId="0" borderId="57" xfId="0" applyFont="1" applyBorder="1" applyAlignment="1">
      <alignment horizontal="center" vertical="center"/>
    </xf>
    <xf numFmtId="0" fontId="63" fillId="0" borderId="63" xfId="0" applyFont="1" applyBorder="1" applyAlignment="1">
      <alignment horizontal="center" vertical="center"/>
    </xf>
    <xf numFmtId="0" fontId="63" fillId="0" borderId="58" xfId="0" applyFont="1" applyBorder="1" applyAlignment="1">
      <alignment horizontal="center" vertical="center"/>
    </xf>
    <xf numFmtId="0" fontId="57" fillId="0" borderId="57" xfId="0" applyFont="1" applyBorder="1" applyAlignment="1">
      <alignment horizontal="left" vertical="center" wrapText="1"/>
    </xf>
    <xf numFmtId="0" fontId="57" fillId="0" borderId="63" xfId="0" applyFont="1" applyBorder="1" applyAlignment="1">
      <alignment horizontal="left" vertical="center" wrapText="1"/>
    </xf>
    <xf numFmtId="0" fontId="57" fillId="0" borderId="58" xfId="0" applyFont="1" applyBorder="1" applyAlignment="1">
      <alignment horizontal="left" vertical="center" wrapText="1"/>
    </xf>
    <xf numFmtId="0" fontId="53" fillId="0" borderId="60" xfId="0" applyFont="1" applyBorder="1" applyAlignment="1">
      <alignment horizontal="center"/>
    </xf>
    <xf numFmtId="0" fontId="46" fillId="0" borderId="56" xfId="0" applyFont="1" applyBorder="1" applyAlignment="1">
      <alignment horizontal="left" vertical="center" wrapText="1"/>
    </xf>
    <xf numFmtId="0" fontId="126" fillId="0" borderId="1" xfId="0" applyFont="1" applyBorder="1" applyAlignment="1">
      <alignment horizontal="center" vertical="center"/>
    </xf>
    <xf numFmtId="0" fontId="126" fillId="0" borderId="2" xfId="0" applyFont="1" applyBorder="1" applyAlignment="1">
      <alignment horizontal="center" vertical="center"/>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6" fillId="0" borderId="5" xfId="0" applyFont="1" applyBorder="1" applyAlignment="1">
      <alignment horizontal="center" vertical="center"/>
    </xf>
    <xf numFmtId="0" fontId="126" fillId="0" borderId="6" xfId="0" applyFont="1" applyBorder="1" applyAlignment="1">
      <alignment horizontal="center" vertical="center"/>
    </xf>
    <xf numFmtId="1" fontId="84" fillId="61" borderId="62" xfId="0" applyNumberFormat="1" applyFont="1" applyFill="1" applyBorder="1" applyAlignment="1">
      <alignment horizontal="center" vertical="center"/>
    </xf>
    <xf numFmtId="1" fontId="84" fillId="61" borderId="21" xfId="0" applyNumberFormat="1" applyFont="1" applyFill="1" applyBorder="1" applyAlignment="1">
      <alignment horizontal="center" vertical="center"/>
    </xf>
    <xf numFmtId="1" fontId="84" fillId="61" borderId="10" xfId="0" applyNumberFormat="1" applyFont="1" applyFill="1" applyBorder="1" applyAlignment="1">
      <alignment horizontal="center" vertical="center"/>
    </xf>
    <xf numFmtId="0" fontId="76" fillId="0" borderId="59" xfId="0" applyFont="1" applyBorder="1" applyAlignment="1">
      <alignment horizontal="left" vertical="center" wrapText="1"/>
    </xf>
    <xf numFmtId="0" fontId="76" fillId="0" borderId="60" xfId="0" applyFont="1" applyBorder="1" applyAlignment="1">
      <alignment horizontal="left" vertical="center" wrapText="1"/>
    </xf>
    <xf numFmtId="0" fontId="76" fillId="0" borderId="61" xfId="0" applyFont="1" applyBorder="1" applyAlignment="1">
      <alignment horizontal="left" vertical="center" wrapText="1"/>
    </xf>
    <xf numFmtId="0" fontId="76" fillId="0" borderId="16" xfId="0" applyFont="1" applyBorder="1" applyAlignment="1">
      <alignment horizontal="left" vertical="center" wrapText="1"/>
    </xf>
    <xf numFmtId="0" fontId="76" fillId="0" borderId="0" xfId="0" applyFont="1" applyAlignment="1">
      <alignment horizontal="left" vertical="center" wrapText="1"/>
    </xf>
    <xf numFmtId="0" fontId="76" fillId="0" borderId="17" xfId="0" applyFont="1" applyBorder="1" applyAlignment="1">
      <alignment horizontal="left" vertical="center" wrapText="1"/>
    </xf>
    <xf numFmtId="0" fontId="76" fillId="0" borderId="18" xfId="0" applyFont="1" applyBorder="1" applyAlignment="1">
      <alignment horizontal="left" vertical="center" wrapText="1"/>
    </xf>
    <xf numFmtId="0" fontId="76" fillId="0" borderId="9" xfId="0" applyFont="1" applyBorder="1" applyAlignment="1">
      <alignment horizontal="left" vertical="center" wrapText="1"/>
    </xf>
    <xf numFmtId="0" fontId="76" fillId="0" borderId="19" xfId="0" applyFont="1" applyBorder="1" applyAlignment="1">
      <alignment horizontal="left" vertical="center" wrapText="1"/>
    </xf>
    <xf numFmtId="0" fontId="84" fillId="61" borderId="0" xfId="0" applyFont="1" applyFill="1" applyAlignment="1">
      <alignment horizontal="center" vertical="center"/>
    </xf>
    <xf numFmtId="9" fontId="92" fillId="4" borderId="79" xfId="591" applyFont="1" applyFill="1" applyBorder="1" applyAlignment="1">
      <alignment horizontal="center" vertical="center"/>
    </xf>
    <xf numFmtId="9" fontId="92" fillId="4" borderId="78" xfId="591" applyFont="1" applyFill="1" applyBorder="1" applyAlignment="1">
      <alignment horizontal="center" vertical="center"/>
    </xf>
    <xf numFmtId="0" fontId="57" fillId="0" borderId="7" xfId="0" applyFont="1" applyBorder="1" applyAlignment="1">
      <alignment horizontal="center" vertical="center" wrapText="1"/>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22" xfId="0" applyFont="1" applyBorder="1" applyAlignment="1">
      <alignment horizontal="center" vertical="center"/>
    </xf>
    <xf numFmtId="0" fontId="57" fillId="0" borderId="11" xfId="0" applyFont="1" applyBorder="1" applyAlignment="1">
      <alignment horizontal="left" vertical="center" wrapText="1"/>
    </xf>
    <xf numFmtId="0" fontId="57" fillId="0" borderId="22" xfId="0" applyFont="1" applyBorder="1" applyAlignment="1">
      <alignment horizontal="left" vertical="center" wrapText="1"/>
    </xf>
    <xf numFmtId="0" fontId="55" fillId="0" borderId="11" xfId="0" applyFont="1" applyBorder="1" applyAlignment="1">
      <alignment horizontal="center"/>
    </xf>
    <xf numFmtId="0" fontId="55" fillId="0" borderId="12" xfId="0" applyFont="1" applyBorder="1" applyAlignment="1">
      <alignment horizontal="center"/>
    </xf>
    <xf numFmtId="0" fontId="55" fillId="0" borderId="22" xfId="0" applyFont="1" applyBorder="1" applyAlignment="1">
      <alignment horizontal="center"/>
    </xf>
    <xf numFmtId="0" fontId="52" fillId="65" borderId="57" xfId="0" applyFont="1" applyFill="1" applyBorder="1" applyAlignment="1">
      <alignment horizontal="center"/>
    </xf>
    <xf numFmtId="0" fontId="52" fillId="65" borderId="63" xfId="0" applyFont="1" applyFill="1" applyBorder="1" applyAlignment="1">
      <alignment horizontal="center"/>
    </xf>
    <xf numFmtId="0" fontId="52" fillId="65" borderId="58" xfId="0" applyFont="1" applyFill="1" applyBorder="1" applyAlignment="1">
      <alignment horizontal="center"/>
    </xf>
    <xf numFmtId="0" fontId="53" fillId="4" borderId="56" xfId="0" applyFont="1" applyFill="1" applyBorder="1" applyAlignment="1">
      <alignment horizontal="left" vertical="center" wrapText="1"/>
    </xf>
    <xf numFmtId="0" fontId="53" fillId="65" borderId="57" xfId="0" applyFont="1" applyFill="1" applyBorder="1" applyAlignment="1">
      <alignment horizontal="left" vertical="center" wrapText="1"/>
    </xf>
    <xf numFmtId="0" fontId="53" fillId="65" borderId="63" xfId="0" applyFont="1" applyFill="1" applyBorder="1" applyAlignment="1">
      <alignment horizontal="left" vertical="center" wrapText="1"/>
    </xf>
    <xf numFmtId="0" fontId="53" fillId="65" borderId="58" xfId="0" applyFont="1" applyFill="1" applyBorder="1" applyAlignment="1">
      <alignment horizontal="left" vertical="center" wrapText="1"/>
    </xf>
    <xf numFmtId="0" fontId="53" fillId="65" borderId="56" xfId="0" applyFont="1" applyFill="1" applyBorder="1" applyAlignment="1">
      <alignment horizontal="left" vertical="center" wrapText="1"/>
    </xf>
    <xf numFmtId="0" fontId="52" fillId="4" borderId="57" xfId="0" applyFont="1" applyFill="1" applyBorder="1" applyAlignment="1">
      <alignment horizontal="center"/>
    </xf>
    <xf numFmtId="0" fontId="52" fillId="4" borderId="63" xfId="0" applyFont="1" applyFill="1" applyBorder="1" applyAlignment="1">
      <alignment horizontal="center"/>
    </xf>
    <xf numFmtId="0" fontId="52" fillId="4" borderId="58" xfId="0" applyFont="1" applyFill="1" applyBorder="1" applyAlignment="1">
      <alignment horizontal="center"/>
    </xf>
    <xf numFmtId="0" fontId="53" fillId="4" borderId="57" xfId="0" applyFont="1" applyFill="1" applyBorder="1" applyAlignment="1">
      <alignment horizontal="left" vertical="center" wrapText="1"/>
    </xf>
    <xf numFmtId="0" fontId="53" fillId="4" borderId="63" xfId="0" applyFont="1" applyFill="1" applyBorder="1" applyAlignment="1">
      <alignment horizontal="left" vertical="center" wrapText="1"/>
    </xf>
    <xf numFmtId="0" fontId="53" fillId="4" borderId="58" xfId="0" applyFont="1" applyFill="1" applyBorder="1" applyAlignment="1">
      <alignment horizontal="left" vertical="center" wrapText="1"/>
    </xf>
    <xf numFmtId="0" fontId="53" fillId="4" borderId="18" xfId="0" applyFont="1" applyFill="1" applyBorder="1" applyAlignment="1">
      <alignment horizontal="center" vertical="top"/>
    </xf>
    <xf numFmtId="0" fontId="53" fillId="4" borderId="9" xfId="0" applyFont="1" applyFill="1" applyBorder="1" applyAlignment="1">
      <alignment horizontal="center" vertical="top"/>
    </xf>
    <xf numFmtId="0" fontId="53" fillId="4" borderId="19" xfId="0" applyFont="1" applyFill="1" applyBorder="1" applyAlignment="1">
      <alignment horizontal="center" vertical="top"/>
    </xf>
    <xf numFmtId="0" fontId="53" fillId="65" borderId="9" xfId="0" applyFont="1" applyFill="1" applyBorder="1" applyAlignment="1">
      <alignment horizontal="center" vertical="top"/>
    </xf>
    <xf numFmtId="0" fontId="53" fillId="65" borderId="19" xfId="0" applyFont="1" applyFill="1" applyBorder="1" applyAlignment="1">
      <alignment horizontal="center" vertical="top"/>
    </xf>
    <xf numFmtId="0" fontId="53" fillId="4" borderId="16" xfId="0" applyFont="1" applyFill="1" applyBorder="1" applyAlignment="1">
      <alignment horizontal="left" vertical="center" wrapText="1"/>
    </xf>
    <xf numFmtId="0" fontId="53" fillId="4" borderId="0" xfId="0" applyFont="1" applyFill="1" applyAlignment="1">
      <alignment horizontal="left" vertical="center" wrapText="1"/>
    </xf>
    <xf numFmtId="0" fontId="53" fillId="4" borderId="17" xfId="0" applyFont="1" applyFill="1" applyBorder="1" applyAlignment="1">
      <alignment horizontal="left" vertical="center" wrapText="1"/>
    </xf>
    <xf numFmtId="0" fontId="53" fillId="4" borderId="18" xfId="0" applyFont="1" applyFill="1" applyBorder="1" applyAlignment="1">
      <alignment horizontal="left" vertical="center" wrapText="1"/>
    </xf>
    <xf numFmtId="0" fontId="53" fillId="4" borderId="9" xfId="0" applyFont="1" applyFill="1" applyBorder="1" applyAlignment="1">
      <alignment horizontal="left" vertical="center" wrapText="1"/>
    </xf>
    <xf numFmtId="0" fontId="53" fillId="4" borderId="19" xfId="0" applyFont="1" applyFill="1" applyBorder="1" applyAlignment="1">
      <alignment horizontal="left" vertical="center" wrapText="1"/>
    </xf>
    <xf numFmtId="0" fontId="53" fillId="65" borderId="16" xfId="0" applyFont="1" applyFill="1" applyBorder="1" applyAlignment="1">
      <alignment horizontal="left" vertical="center" wrapText="1"/>
    </xf>
    <xf numFmtId="0" fontId="53" fillId="65" borderId="0" xfId="0" applyFont="1" applyFill="1" applyAlignment="1">
      <alignment horizontal="left" vertical="center" wrapText="1"/>
    </xf>
    <xf numFmtId="0" fontId="53" fillId="65" borderId="17" xfId="0" applyFont="1" applyFill="1" applyBorder="1" applyAlignment="1">
      <alignment horizontal="left" vertical="center" wrapText="1"/>
    </xf>
    <xf numFmtId="0" fontId="53" fillId="65" borderId="18" xfId="0" applyFont="1" applyFill="1" applyBorder="1" applyAlignment="1">
      <alignment horizontal="left" vertical="center" wrapText="1"/>
    </xf>
    <xf numFmtId="0" fontId="53" fillId="65" borderId="9" xfId="0" applyFont="1" applyFill="1" applyBorder="1" applyAlignment="1">
      <alignment horizontal="left" vertical="center" wrapText="1"/>
    </xf>
    <xf numFmtId="0" fontId="53" fillId="65" borderId="19" xfId="0" applyFont="1" applyFill="1" applyBorder="1" applyAlignment="1">
      <alignment horizontal="left" vertical="center" wrapText="1"/>
    </xf>
    <xf numFmtId="0" fontId="98" fillId="0" borderId="57" xfId="0" applyFont="1" applyBorder="1" applyAlignment="1">
      <alignment horizontal="center" vertical="center"/>
    </xf>
    <xf numFmtId="0" fontId="98" fillId="0" borderId="63" xfId="0" applyFont="1" applyBorder="1" applyAlignment="1">
      <alignment horizontal="center" vertical="center"/>
    </xf>
    <xf numFmtId="0" fontId="98" fillId="0" borderId="58" xfId="0" applyFont="1" applyBorder="1" applyAlignment="1">
      <alignment horizontal="center" vertical="center"/>
    </xf>
    <xf numFmtId="0" fontId="53" fillId="0" borderId="0" xfId="0" applyFont="1" applyAlignment="1">
      <alignment horizontal="center" vertical="center"/>
    </xf>
    <xf numFmtId="0" fontId="98" fillId="0" borderId="57" xfId="0" applyFont="1" applyBorder="1" applyAlignment="1">
      <alignment horizontal="center"/>
    </xf>
    <xf numFmtId="0" fontId="98" fillId="0" borderId="58" xfId="0" applyFont="1" applyBorder="1" applyAlignment="1">
      <alignment horizontal="center"/>
    </xf>
    <xf numFmtId="0" fontId="73" fillId="0" borderId="59" xfId="0" applyFont="1" applyBorder="1" applyAlignment="1">
      <alignment horizontal="left" vertical="center" wrapText="1"/>
    </xf>
    <xf numFmtId="0" fontId="73" fillId="0" borderId="60" xfId="0" applyFont="1" applyBorder="1" applyAlignment="1">
      <alignment horizontal="left" vertical="center" wrapText="1"/>
    </xf>
    <xf numFmtId="0" fontId="73" fillId="0" borderId="61" xfId="0" applyFont="1" applyBorder="1" applyAlignment="1">
      <alignment horizontal="left" vertical="center" wrapText="1"/>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17" xfId="0" applyFont="1" applyBorder="1" applyAlignment="1">
      <alignment horizontal="left" vertical="center" wrapText="1"/>
    </xf>
    <xf numFmtId="0" fontId="73" fillId="0" borderId="18" xfId="0" applyFont="1" applyBorder="1" applyAlignment="1">
      <alignment horizontal="left" vertical="center" wrapText="1"/>
    </xf>
    <xf numFmtId="0" fontId="73" fillId="0" borderId="9" xfId="0" applyFont="1" applyBorder="1" applyAlignment="1">
      <alignment horizontal="left" vertical="center" wrapText="1"/>
    </xf>
    <xf numFmtId="0" fontId="73" fillId="0" borderId="19" xfId="0" applyFont="1" applyBorder="1" applyAlignment="1">
      <alignment horizontal="left" vertical="center" wrapText="1"/>
    </xf>
    <xf numFmtId="0" fontId="52" fillId="0" borderId="0" xfId="0" applyFont="1" applyAlignment="1">
      <alignment horizontal="center" vertical="center"/>
    </xf>
    <xf numFmtId="0" fontId="52" fillId="4" borderId="59" xfId="0" applyFont="1" applyFill="1" applyBorder="1" applyAlignment="1">
      <alignment horizontal="center"/>
    </xf>
    <xf numFmtId="0" fontId="52" fillId="4" borderId="60" xfId="0" applyFont="1" applyFill="1" applyBorder="1" applyAlignment="1">
      <alignment horizontal="center"/>
    </xf>
    <xf numFmtId="0" fontId="52" fillId="4" borderId="61" xfId="0" applyFont="1" applyFill="1" applyBorder="1" applyAlignment="1">
      <alignment horizontal="center"/>
    </xf>
    <xf numFmtId="0" fontId="80" fillId="36" borderId="0" xfId="0" applyFont="1" applyFill="1" applyAlignment="1" applyProtection="1">
      <alignment horizontal="center" vertical="center" wrapText="1"/>
      <protection hidden="1"/>
    </xf>
    <xf numFmtId="0" fontId="80" fillId="36" borderId="84" xfId="0" applyFont="1" applyFill="1" applyBorder="1" applyAlignment="1" applyProtection="1">
      <alignment horizontal="center" vertical="center" wrapText="1"/>
      <protection hidden="1"/>
    </xf>
    <xf numFmtId="2" fontId="98" fillId="0" borderId="57" xfId="0" applyNumberFormat="1" applyFont="1" applyBorder="1" applyAlignment="1">
      <alignment horizontal="center"/>
    </xf>
    <xf numFmtId="0" fontId="52" fillId="65" borderId="60" xfId="0" applyFont="1" applyFill="1" applyBorder="1" applyAlignment="1">
      <alignment horizontal="center"/>
    </xf>
    <xf numFmtId="0" fontId="52" fillId="65" borderId="61" xfId="0" applyFont="1" applyFill="1" applyBorder="1" applyAlignment="1">
      <alignment horizontal="center"/>
    </xf>
    <xf numFmtId="0" fontId="52" fillId="0" borderId="62" xfId="0" applyFont="1" applyBorder="1" applyAlignment="1">
      <alignment horizontal="center" vertical="center"/>
    </xf>
    <xf numFmtId="0" fontId="52" fillId="0" borderId="10" xfId="0" applyFont="1" applyBorder="1" applyAlignment="1">
      <alignment horizontal="center" vertical="center"/>
    </xf>
    <xf numFmtId="0" fontId="71" fillId="0" borderId="13" xfId="0" applyFont="1" applyBorder="1" applyAlignment="1">
      <alignment horizontal="left" vertical="center" wrapText="1"/>
    </xf>
    <xf numFmtId="0" fontId="71" fillId="0" borderId="90" xfId="0" applyFont="1" applyBorder="1" applyAlignment="1">
      <alignment horizontal="left" vertical="center" wrapText="1"/>
    </xf>
    <xf numFmtId="0" fontId="71" fillId="0" borderId="88" xfId="0" applyFont="1" applyBorder="1" applyAlignment="1">
      <alignment horizontal="left" vertical="center" wrapText="1"/>
    </xf>
    <xf numFmtId="0" fontId="71" fillId="0" borderId="91" xfId="0" applyFont="1" applyBorder="1" applyAlignment="1">
      <alignment horizontal="left" vertical="center" wrapText="1"/>
    </xf>
    <xf numFmtId="0" fontId="71" fillId="0" borderId="85" xfId="0" applyFont="1" applyBorder="1" applyAlignment="1">
      <alignment horizontal="left" vertical="center" wrapText="1"/>
    </xf>
    <xf numFmtId="0" fontId="71" fillId="0" borderId="92" xfId="0" applyFont="1" applyBorder="1" applyAlignment="1">
      <alignment horizontal="left" vertical="center" wrapText="1"/>
    </xf>
    <xf numFmtId="0" fontId="71" fillId="0" borderId="4" xfId="0" applyFont="1" applyBorder="1" applyAlignment="1">
      <alignment horizontal="left" vertical="center" wrapText="1"/>
    </xf>
    <xf numFmtId="0" fontId="71" fillId="0" borderId="90" xfId="0" applyFont="1" applyBorder="1" applyAlignment="1">
      <alignment horizontal="center" vertical="center" wrapText="1"/>
    </xf>
    <xf numFmtId="0" fontId="71" fillId="0" borderId="91" xfId="0" applyFont="1" applyBorder="1" applyAlignment="1">
      <alignment horizontal="center" vertical="center" wrapText="1"/>
    </xf>
    <xf numFmtId="0" fontId="107" fillId="65" borderId="64" xfId="0" applyFont="1" applyFill="1" applyBorder="1" applyAlignment="1">
      <alignment horizontal="center" vertical="center"/>
    </xf>
    <xf numFmtId="0" fontId="107" fillId="65" borderId="65" xfId="0" applyFont="1" applyFill="1" applyBorder="1" applyAlignment="1">
      <alignment horizontal="center" vertical="center"/>
    </xf>
    <xf numFmtId="0" fontId="107" fillId="65" borderId="105" xfId="0" applyFont="1" applyFill="1" applyBorder="1" applyAlignment="1">
      <alignment horizontal="center" vertical="center"/>
    </xf>
    <xf numFmtId="0" fontId="107" fillId="68" borderId="64" xfId="0" applyFont="1" applyFill="1" applyBorder="1" applyAlignment="1">
      <alignment horizontal="center" vertical="center"/>
    </xf>
    <xf numFmtId="0" fontId="107" fillId="68" borderId="65" xfId="0" applyFont="1" applyFill="1" applyBorder="1" applyAlignment="1">
      <alignment horizontal="center" vertical="center"/>
    </xf>
    <xf numFmtId="0" fontId="107" fillId="68" borderId="105" xfId="0" applyFont="1" applyFill="1" applyBorder="1" applyAlignment="1">
      <alignment horizontal="center" vertical="center"/>
    </xf>
    <xf numFmtId="0" fontId="107" fillId="71" borderId="64" xfId="0" applyFont="1" applyFill="1" applyBorder="1" applyAlignment="1">
      <alignment horizontal="center" vertical="center"/>
    </xf>
    <xf numFmtId="0" fontId="107" fillId="71" borderId="65" xfId="0" applyFont="1" applyFill="1" applyBorder="1" applyAlignment="1">
      <alignment horizontal="center" vertical="center"/>
    </xf>
    <xf numFmtId="0" fontId="107" fillId="71" borderId="105" xfId="0" applyFont="1" applyFill="1" applyBorder="1" applyAlignment="1">
      <alignment horizontal="center" vertical="center"/>
    </xf>
    <xf numFmtId="0" fontId="118" fillId="36" borderId="108" xfId="0" applyFont="1" applyFill="1" applyBorder="1" applyAlignment="1" applyProtection="1">
      <alignment horizontal="center" vertical="center"/>
      <protection hidden="1"/>
    </xf>
    <xf numFmtId="0" fontId="118" fillId="36" borderId="0" xfId="0" applyFont="1" applyFill="1" applyAlignment="1" applyProtection="1">
      <alignment horizontal="center" vertical="center"/>
      <protection hidden="1"/>
    </xf>
    <xf numFmtId="0" fontId="97" fillId="0" borderId="64"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105" xfId="0" applyFont="1" applyBorder="1" applyAlignment="1">
      <alignment horizontal="center" vertical="center" wrapText="1"/>
    </xf>
    <xf numFmtId="0" fontId="107" fillId="69" borderId="64" xfId="0" applyFont="1" applyFill="1" applyBorder="1" applyAlignment="1">
      <alignment horizontal="center" vertical="center"/>
    </xf>
    <xf numFmtId="0" fontId="107" fillId="69" borderId="65" xfId="0" applyFont="1" applyFill="1" applyBorder="1" applyAlignment="1">
      <alignment horizontal="center" vertical="center"/>
    </xf>
    <xf numFmtId="0" fontId="107" fillId="69" borderId="105" xfId="0" applyFont="1" applyFill="1" applyBorder="1" applyAlignment="1">
      <alignment horizontal="center" vertical="center"/>
    </xf>
    <xf numFmtId="0" fontId="107" fillId="67" borderId="64" xfId="0" applyFont="1" applyFill="1" applyBorder="1" applyAlignment="1">
      <alignment horizontal="center" vertical="center"/>
    </xf>
    <xf numFmtId="0" fontId="107" fillId="67" borderId="65" xfId="0" applyFont="1" applyFill="1" applyBorder="1" applyAlignment="1">
      <alignment horizontal="center" vertical="center"/>
    </xf>
    <xf numFmtId="0" fontId="107" fillId="67" borderId="105" xfId="0" applyFont="1" applyFill="1" applyBorder="1" applyAlignment="1">
      <alignment horizontal="center" vertical="center"/>
    </xf>
    <xf numFmtId="0" fontId="99" fillId="0" borderId="0" xfId="0" applyFont="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3" fillId="0" borderId="23" xfId="0" applyFont="1" applyBorder="1" applyAlignment="1">
      <alignment horizontal="center" vertical="center"/>
    </xf>
    <xf numFmtId="0" fontId="52" fillId="0" borderId="16" xfId="0" applyFont="1" applyBorder="1" applyAlignment="1">
      <alignment horizontal="left" vertical="center"/>
    </xf>
    <xf numFmtId="0" fontId="52" fillId="0" borderId="0" xfId="0" applyFont="1" applyAlignment="1">
      <alignment horizontal="left" vertical="center"/>
    </xf>
    <xf numFmtId="0" fontId="52" fillId="0" borderId="59" xfId="0" applyFont="1" applyBorder="1" applyAlignment="1">
      <alignment horizontal="left" vertical="center"/>
    </xf>
    <xf numFmtId="0" fontId="52" fillId="0" borderId="60" xfId="0" applyFont="1" applyBorder="1" applyAlignment="1">
      <alignment horizontal="left" vertical="center"/>
    </xf>
  </cellXfs>
  <cellStyles count="593">
    <cellStyle name="20% - Accent1 10" xfId="4" xr:uid="{4308DA4C-1DA5-4901-A218-664B389F4EBB}"/>
    <cellStyle name="20% - Accent1 11" xfId="5" xr:uid="{0F3B9A50-A7B2-4E06-9FBA-564E61B6E3AF}"/>
    <cellStyle name="20% - Accent1 12" xfId="6" xr:uid="{03D2436F-5CCE-40B1-BD82-E118BD4633BE}"/>
    <cellStyle name="20% - Accent1 13" xfId="7" xr:uid="{419D0C56-326B-480D-A27A-9CD282C8BD0B}"/>
    <cellStyle name="20% - Accent1 14" xfId="8" xr:uid="{04FDCC2E-9403-4AF0-A2D5-5166FB3B08F9}"/>
    <cellStyle name="20% - Accent1 15" xfId="9" xr:uid="{27BF2B55-6AC9-4EEF-9FD7-ECF90AC8F79E}"/>
    <cellStyle name="20% - Accent1 16" xfId="10" xr:uid="{C114C88F-C038-47D7-9D44-D2086B3FD412}"/>
    <cellStyle name="20% - Accent1 2" xfId="11" xr:uid="{3015F915-5C52-4D57-A7E1-FE977BC537AB}"/>
    <cellStyle name="20% - Accent1 3" xfId="12" xr:uid="{B28CF6BC-78D2-4380-B546-180A36208E99}"/>
    <cellStyle name="20% - Accent1 4" xfId="13" xr:uid="{0334B41D-A6C1-4D1D-884F-6ECCF1C2A5E0}"/>
    <cellStyle name="20% - Accent1 5" xfId="14" xr:uid="{A59DEB15-BE3E-4E62-8E72-1F07F3B595B1}"/>
    <cellStyle name="20% - Accent1 6" xfId="15" xr:uid="{697D5AEC-BDC0-42BA-AA54-80E5F92E1C3D}"/>
    <cellStyle name="20% - Accent1 7" xfId="16" xr:uid="{F3F7BE51-9FBE-40C9-964E-3C2BE8B525F9}"/>
    <cellStyle name="20% - Accent1 8" xfId="17" xr:uid="{3AD210EA-E78B-4888-BBBA-DE3A2F57F375}"/>
    <cellStyle name="20% - Accent1 9" xfId="18" xr:uid="{8AAE52EF-0E59-4501-9CE4-814007D36060}"/>
    <cellStyle name="20% - Accent2 10" xfId="19" xr:uid="{3DDF1F04-2B4D-42D6-A5C2-1FFBBFD42EDA}"/>
    <cellStyle name="20% - Accent2 11" xfId="20" xr:uid="{7C2ADB73-4C4C-4DF7-A349-BE81775B0BF2}"/>
    <cellStyle name="20% - Accent2 12" xfId="21" xr:uid="{69EAE01B-1FB1-4D79-A373-F624EB887F59}"/>
    <cellStyle name="20% - Accent2 13" xfId="22" xr:uid="{09BEFBFB-9B46-44C7-8605-08B17531B820}"/>
    <cellStyle name="20% - Accent2 14" xfId="23" xr:uid="{18B05325-70BA-48D3-910B-772C85C84C2F}"/>
    <cellStyle name="20% - Accent2 15" xfId="24" xr:uid="{AD51AD9F-876A-4632-A71C-3F06D5D27A65}"/>
    <cellStyle name="20% - Accent2 16" xfId="25" xr:uid="{5E347F54-1113-4AA0-A236-03483BA30581}"/>
    <cellStyle name="20% - Accent2 2" xfId="26" xr:uid="{28AFFF82-4766-4081-9674-A8F9A34E3BD4}"/>
    <cellStyle name="20% - Accent2 3" xfId="27" xr:uid="{BDC987F8-61BB-432A-BA78-40B24C2613B3}"/>
    <cellStyle name="20% - Accent2 4" xfId="28" xr:uid="{05F64D27-8C93-4AE0-BDC7-715148DDEC80}"/>
    <cellStyle name="20% - Accent2 5" xfId="29" xr:uid="{E2F03CCA-85C6-4C65-8B81-5478D13C6A0F}"/>
    <cellStyle name="20% - Accent2 6" xfId="30" xr:uid="{09E342BB-44A4-4257-8B3E-F34CC7A5EBE8}"/>
    <cellStyle name="20% - Accent2 7" xfId="31" xr:uid="{75EB2D4D-3ED6-45B3-8AC6-84206B6DA5E7}"/>
    <cellStyle name="20% - Accent2 8" xfId="32" xr:uid="{906FC5DB-05EE-4455-886E-25603B3D4377}"/>
    <cellStyle name="20% - Accent2 9" xfId="33" xr:uid="{8E702373-8C8E-4119-B81E-6955063E5569}"/>
    <cellStyle name="20% - Accent3 10" xfId="34" xr:uid="{7DED2E38-4C2C-4EE3-A363-02990E67ACF9}"/>
    <cellStyle name="20% - Accent3 11" xfId="35" xr:uid="{00EA522B-B4DD-49EA-BB5D-5BD162786A33}"/>
    <cellStyle name="20% - Accent3 12" xfId="36" xr:uid="{FC342750-2149-4382-ABFD-C7BCB83CFDF5}"/>
    <cellStyle name="20% - Accent3 13" xfId="37" xr:uid="{D6999871-AA28-4F80-B4F2-72C047C26954}"/>
    <cellStyle name="20% - Accent3 14" xfId="38" xr:uid="{9815103F-7417-409E-822E-9FC7A96BEE2A}"/>
    <cellStyle name="20% - Accent3 15" xfId="39" xr:uid="{D885F35B-B4D9-4EF5-A935-AC378E64A02E}"/>
    <cellStyle name="20% - Accent3 16" xfId="40" xr:uid="{D4D344CA-F272-49AD-93E3-2DAD89A5DB37}"/>
    <cellStyle name="20% - Accent3 2" xfId="41" xr:uid="{2491889C-C5E2-4182-A2E7-025803E85B13}"/>
    <cellStyle name="20% - Accent3 2 2" xfId="288" xr:uid="{26090ADB-ADAE-4AEF-9399-3A0CE1B6EBF8}"/>
    <cellStyle name="20% - Accent3 3" xfId="42" xr:uid="{06A7B68F-6961-4E65-9147-7407C0F86A9D}"/>
    <cellStyle name="20% - Accent3 3 2" xfId="289" xr:uid="{88F64057-DE37-41D1-9E8F-0B224C6E5664}"/>
    <cellStyle name="20% - Accent3 4" xfId="43" xr:uid="{F22B6D9A-A078-47CF-A75E-8F0CF15353EA}"/>
    <cellStyle name="20% - Accent3 4 2" xfId="290" xr:uid="{F7643B0F-0DA2-4693-A325-D6C871B3036E}"/>
    <cellStyle name="20% - Accent3 5" xfId="44" xr:uid="{B8BB582B-D035-41EE-92FC-05F696C2A597}"/>
    <cellStyle name="20% - Accent3 5 2" xfId="291" xr:uid="{ECE1A508-CCAE-41CC-A7E9-33A5132F7CED}"/>
    <cellStyle name="20% - Accent3 6" xfId="45" xr:uid="{B15FFECF-B557-43EA-BD20-F569FDDE3878}"/>
    <cellStyle name="20% - Accent3 6 2" xfId="292" xr:uid="{3806F3F5-C9E6-43D2-9D71-74C82BC0686A}"/>
    <cellStyle name="20% - Accent3 7" xfId="46" xr:uid="{C1CF12C0-64B8-42E5-8E89-7B9B8626C78E}"/>
    <cellStyle name="20% - Accent3 7 2" xfId="293" xr:uid="{B5A54CD8-A72A-48C3-B664-AD3FAD667681}"/>
    <cellStyle name="20% - Accent3 8" xfId="47" xr:uid="{8EEF1FD0-5574-4B70-9207-3F076C8EFACD}"/>
    <cellStyle name="20% - Accent3 9" xfId="48" xr:uid="{E5EE5454-BC17-4A02-BEDF-307BBA15433E}"/>
    <cellStyle name="20% - Accent4 10" xfId="49" xr:uid="{F39C6061-129A-4C31-8249-4750A8DE079D}"/>
    <cellStyle name="20% - Accent4 11" xfId="50" xr:uid="{1DC8C77C-597E-423E-AE85-A9E90EF9F9E2}"/>
    <cellStyle name="20% - Accent4 12" xfId="51" xr:uid="{57408FE7-E417-4EAE-8B8E-31A9A60E9754}"/>
    <cellStyle name="20% - Accent4 13" xfId="52" xr:uid="{C1515EC1-3CCA-4256-A3DE-73B7D437C78E}"/>
    <cellStyle name="20% - Accent4 14" xfId="53" xr:uid="{376EABE0-054B-4506-9C62-0D752B1D4026}"/>
    <cellStyle name="20% - Accent4 15" xfId="54" xr:uid="{E9F50290-2A6F-4FFC-8FFD-C006A3FB6FDB}"/>
    <cellStyle name="20% - Accent4 16" xfId="55" xr:uid="{FC810C28-CDEA-46EB-AEAA-DE718B09BDD6}"/>
    <cellStyle name="20% - Accent4 2" xfId="56" xr:uid="{CC19969E-0C9B-4D97-96F0-136AEA3FA064}"/>
    <cellStyle name="20% - Accent4 3" xfId="57" xr:uid="{EC1A766E-41CB-4849-9CA5-4643714ADE24}"/>
    <cellStyle name="20% - Accent4 4" xfId="58" xr:uid="{A89E52D4-3B6E-4FFD-AA88-FF74C15B268C}"/>
    <cellStyle name="20% - Accent4 5" xfId="59" xr:uid="{B71F6100-5D4F-4549-8E0E-AA66101F185F}"/>
    <cellStyle name="20% - Accent4 6" xfId="60" xr:uid="{61EB6A5C-4145-49E5-8442-64C42643B701}"/>
    <cellStyle name="20% - Accent4 7" xfId="61" xr:uid="{CAEB2469-EA08-4129-B67E-074E10813AC7}"/>
    <cellStyle name="20% - Accent4 8" xfId="62" xr:uid="{27907EAC-744F-40EB-8D98-DA774ACCC400}"/>
    <cellStyle name="20% - Accent4 9" xfId="63" xr:uid="{E2E3B06B-2149-4D2E-8D1D-4C5EED83DC25}"/>
    <cellStyle name="20% - Accent5 10" xfId="64" xr:uid="{0F68EAA5-469C-46B7-94A0-0CE69ACDC311}"/>
    <cellStyle name="20% - Accent5 11" xfId="65" xr:uid="{4FA0061B-1FC6-4BAD-BD63-660C0F9E796D}"/>
    <cellStyle name="20% - Accent5 12" xfId="66" xr:uid="{E83754AB-FED7-4A42-86B8-8AB8324C2DFF}"/>
    <cellStyle name="20% - Accent5 13" xfId="67" xr:uid="{3AAB6E74-5F31-4551-A9E3-83318B60A28C}"/>
    <cellStyle name="20% - Accent5 14" xfId="68" xr:uid="{A8A43A32-DBD3-4644-948A-BC5CA7003D43}"/>
    <cellStyle name="20% - Accent5 15" xfId="69" xr:uid="{5A3A8C2D-880E-4CAF-A227-32F1C939F803}"/>
    <cellStyle name="20% - Accent5 16" xfId="70" xr:uid="{2D5A15F9-C614-471F-9E43-8DA9A91441E2}"/>
    <cellStyle name="20% - Accent5 2" xfId="71" xr:uid="{44FDDA90-7D14-4B32-93D8-18E72A34335F}"/>
    <cellStyle name="20% - Accent5 3" xfId="72" xr:uid="{598178D3-4A73-4E36-B150-40BDFF2E87E4}"/>
    <cellStyle name="20% - Accent5 4" xfId="73" xr:uid="{7A85373A-97CD-4919-878F-1BC97EBC4697}"/>
    <cellStyle name="20% - Accent5 5" xfId="74" xr:uid="{31E6DB31-D31B-409F-AACB-C3AEAC57D2D3}"/>
    <cellStyle name="20% - Accent5 6" xfId="75" xr:uid="{F180EEFA-3CB3-49F3-8516-7CE110905BBD}"/>
    <cellStyle name="20% - Accent5 7" xfId="76" xr:uid="{A7AEB4D1-254D-4066-9507-BE48A2275848}"/>
    <cellStyle name="20% - Accent5 8" xfId="77" xr:uid="{B95DBDCC-D478-4783-97B4-E7FCF3E5AD92}"/>
    <cellStyle name="20% - Accent5 9" xfId="78" xr:uid="{FF8E3C07-8B60-47BB-8806-C2CA9B67DBBD}"/>
    <cellStyle name="20% - Accent6 10" xfId="79" xr:uid="{1D2E7473-3B42-4B32-8C8C-DCCCA7895386}"/>
    <cellStyle name="20% - Accent6 11" xfId="80" xr:uid="{547D72DC-6330-40EB-88DA-E6032BE7603F}"/>
    <cellStyle name="20% - Accent6 12" xfId="81" xr:uid="{F08FF7AC-3242-4AAD-8E8C-32462E56184D}"/>
    <cellStyle name="20% - Accent6 13" xfId="82" xr:uid="{AA31A2A9-136D-45FF-AD32-2A9323765992}"/>
    <cellStyle name="20% - Accent6 14" xfId="83" xr:uid="{36D90E40-5128-4769-890B-8580AE0C38D9}"/>
    <cellStyle name="20% - Accent6 15" xfId="84" xr:uid="{95791E10-66A2-4A1D-83B2-7894CCBA3657}"/>
    <cellStyle name="20% - Accent6 16" xfId="85" xr:uid="{0EDEA5EE-8255-4BDD-9FF8-0A741BA05835}"/>
    <cellStyle name="20% - Accent6 2" xfId="86" xr:uid="{835C96FC-0072-46B8-8D0F-C403204F1502}"/>
    <cellStyle name="20% - Accent6 3" xfId="87" xr:uid="{194350C9-EFFE-484A-B4A1-ADCFB91BB46A}"/>
    <cellStyle name="20% - Accent6 4" xfId="88" xr:uid="{49EE50F1-C0B4-44A6-A89F-9FF922EED4AA}"/>
    <cellStyle name="20% - Accent6 5" xfId="89" xr:uid="{8E9FA43C-925A-459D-B497-B29D81C1BDE6}"/>
    <cellStyle name="20% - Accent6 6" xfId="90" xr:uid="{D5C5E8C7-CB7C-485B-818A-BEF35C66D1E4}"/>
    <cellStyle name="20% - Accent6 7" xfId="91" xr:uid="{775BD40C-78C2-4550-9348-F9B3696B5A56}"/>
    <cellStyle name="20% - Accent6 8" xfId="92" xr:uid="{87163D35-99DD-4485-8A19-4CCDA0DF3229}"/>
    <cellStyle name="20% - Accent6 9" xfId="93" xr:uid="{F24B30DF-C618-471B-AEFA-6E25873ACCD2}"/>
    <cellStyle name="40% - Accent1 10" xfId="94" xr:uid="{92C698E0-9C0B-4B02-9661-0F4A54341236}"/>
    <cellStyle name="40% - Accent1 11" xfId="95" xr:uid="{0877F8F4-100F-4621-9472-EDFCB5614814}"/>
    <cellStyle name="40% - Accent1 12" xfId="96" xr:uid="{BCFAE0D9-5FD8-493B-80D1-2FB383D6E45C}"/>
    <cellStyle name="40% - Accent1 13" xfId="97" xr:uid="{D9EDD60B-2A8C-4FC8-BC45-AA58F5C97E28}"/>
    <cellStyle name="40% - Accent1 14" xfId="98" xr:uid="{3A6728FA-29D1-4930-8AAC-B174D9D2D3A0}"/>
    <cellStyle name="40% - Accent1 15" xfId="99" xr:uid="{4228C055-C4F8-40B6-966C-BD47D2A1119A}"/>
    <cellStyle name="40% - Accent1 16" xfId="100" xr:uid="{5CD8E7E9-E611-4351-9E8B-7B6342CF05CB}"/>
    <cellStyle name="40% - Accent1 2" xfId="101" xr:uid="{0B51CB6C-C0EB-4988-9AC7-447E2E8C2178}"/>
    <cellStyle name="40% - Accent1 3" xfId="102" xr:uid="{D6BD2EA6-A237-43C8-BBAF-8FF5FEC39F46}"/>
    <cellStyle name="40% - Accent1 4" xfId="103" xr:uid="{7B9A754A-20A5-491A-A5F7-0A7C5A1D338C}"/>
    <cellStyle name="40% - Accent1 5" xfId="104" xr:uid="{71810ECA-C160-4826-8873-856F26093A57}"/>
    <cellStyle name="40% - Accent1 6" xfId="105" xr:uid="{B9DF7B0B-7251-4B1E-A7A3-626F1C976AC4}"/>
    <cellStyle name="40% - Accent1 7" xfId="106" xr:uid="{9B755864-756B-49A9-A0C8-0D3CF142CFD0}"/>
    <cellStyle name="40% - Accent1 8" xfId="107" xr:uid="{E0BB23D1-1A6A-4EA6-BE33-CA21B379C452}"/>
    <cellStyle name="40% - Accent1 9" xfId="108" xr:uid="{18B31DF1-5448-4560-B0A5-25014E3FBAEB}"/>
    <cellStyle name="40% - Accent2 10" xfId="109" xr:uid="{B56FEAFD-4820-4F7B-9113-B5ECBBF1F478}"/>
    <cellStyle name="40% - Accent2 11" xfId="110" xr:uid="{70849D96-DE67-4647-871F-74CEA84ABF75}"/>
    <cellStyle name="40% - Accent2 12" xfId="111" xr:uid="{5B86A03D-B6E0-4D56-915B-D9A57C58C957}"/>
    <cellStyle name="40% - Accent2 13" xfId="112" xr:uid="{52AD230D-4599-4BF6-8B3C-BECBB028720D}"/>
    <cellStyle name="40% - Accent2 14" xfId="113" xr:uid="{DD3EABF7-8658-489C-BD40-9FCD51152041}"/>
    <cellStyle name="40% - Accent2 15" xfId="114" xr:uid="{31EA6152-72D3-408B-A842-662D2B5AD99B}"/>
    <cellStyle name="40% - Accent2 16" xfId="115" xr:uid="{B2BA9B45-EC51-4497-A849-EBB88D2603A8}"/>
    <cellStyle name="40% - Accent2 2" xfId="116" xr:uid="{25C7294E-BDEF-42CF-8140-F33A62C32EEA}"/>
    <cellStyle name="40% - Accent2 3" xfId="117" xr:uid="{FE35AE7E-9219-497F-ABE7-070C25139163}"/>
    <cellStyle name="40% - Accent2 4" xfId="118" xr:uid="{30E4198F-B6C7-4431-9AF9-822407D6B682}"/>
    <cellStyle name="40% - Accent2 5" xfId="119" xr:uid="{692CDB59-6EBB-4429-83DC-DD5437A26939}"/>
    <cellStyle name="40% - Accent2 6" xfId="120" xr:uid="{D78BBEFA-951F-4B3E-9186-008C3C1641BC}"/>
    <cellStyle name="40% - Accent2 7" xfId="121" xr:uid="{3DE8DB70-DA29-4A80-BC18-294AEA6F99AD}"/>
    <cellStyle name="40% - Accent2 8" xfId="122" xr:uid="{59FDBFEE-B269-4845-9D6F-9C7A807AA25B}"/>
    <cellStyle name="40% - Accent2 9" xfId="123" xr:uid="{89F256CD-B642-436B-AC45-B64240DCE3D2}"/>
    <cellStyle name="40% - Accent3 10" xfId="124" xr:uid="{63147B34-97C0-4E5C-BC5D-B11FEB2C8C15}"/>
    <cellStyle name="40% - Accent3 11" xfId="125" xr:uid="{504C8E09-217C-4C25-990B-55E52CCF34AD}"/>
    <cellStyle name="40% - Accent3 12" xfId="126" xr:uid="{35F4412F-9889-42E3-A366-069AA96F4A62}"/>
    <cellStyle name="40% - Accent3 13" xfId="127" xr:uid="{1FE2A6FC-C836-4758-A336-7AD8438D738C}"/>
    <cellStyle name="40% - Accent3 14" xfId="128" xr:uid="{B99D4EC3-6F99-4580-9751-B59F81AEDF6B}"/>
    <cellStyle name="40% - Accent3 15" xfId="129" xr:uid="{5D464737-30A5-446D-9376-80EE212ABA4E}"/>
    <cellStyle name="40% - Accent3 16" xfId="130" xr:uid="{58EEEC67-73E7-45E4-B028-C4A62FD8251D}"/>
    <cellStyle name="40% - Accent3 2" xfId="131" xr:uid="{D0FF204C-602A-48D2-9D25-61BDFB157676}"/>
    <cellStyle name="40% - Accent3 3" xfId="132" xr:uid="{5A8CBCBF-6586-4B56-AFE8-80C28969E4D5}"/>
    <cellStyle name="40% - Accent3 4" xfId="133" xr:uid="{2C22DF11-E66E-4355-ABD5-7BA97199AFF4}"/>
    <cellStyle name="40% - Accent3 5" xfId="134" xr:uid="{91853C2E-9577-4BA9-A865-CBD22BA3232A}"/>
    <cellStyle name="40% - Accent3 6" xfId="135" xr:uid="{967E45A3-EF62-45FF-9305-35D13FC52828}"/>
    <cellStyle name="40% - Accent3 7" xfId="136" xr:uid="{7E847215-CB84-4E74-AE7B-5B8F75508F18}"/>
    <cellStyle name="40% - Accent3 8" xfId="137" xr:uid="{13419A88-D954-4C56-B843-8C392B33545A}"/>
    <cellStyle name="40% - Accent3 9" xfId="138" xr:uid="{0DF04C9A-4EBF-4231-9199-BE1778950B0C}"/>
    <cellStyle name="40% - Accent4 10" xfId="139" xr:uid="{B434D513-1708-4E5B-819F-88D1591C145A}"/>
    <cellStyle name="40% - Accent4 11" xfId="140" xr:uid="{021244C5-CA08-467D-8CDD-D8B6D5261FAE}"/>
    <cellStyle name="40% - Accent4 12" xfId="141" xr:uid="{28755D68-3898-4E83-89A8-D9DEC1ADE034}"/>
    <cellStyle name="40% - Accent4 13" xfId="142" xr:uid="{B313ACB9-2EE0-46DE-8917-AFD4F86FB2A7}"/>
    <cellStyle name="40% - Accent4 14" xfId="143" xr:uid="{FFF54989-E497-4297-837B-FC1CE3EE5969}"/>
    <cellStyle name="40% - Accent4 15" xfId="144" xr:uid="{589F6392-669B-41DB-ABC3-CBCA7757C57E}"/>
    <cellStyle name="40% - Accent4 16" xfId="145" xr:uid="{DC80BB5E-6B35-4A08-B3FE-BBF92C8F7EB8}"/>
    <cellStyle name="40% - Accent4 17" xfId="294" xr:uid="{E9C4C01B-1CCA-40F7-AB12-5852A1D1721A}"/>
    <cellStyle name="40% - Accent4 2" xfId="146" xr:uid="{1CC1EB38-2DAD-4EA0-B675-B31D0C1A5E33}"/>
    <cellStyle name="40% - Accent4 2 2" xfId="295" xr:uid="{7849046A-AA54-4BDC-B279-F8A270A3565F}"/>
    <cellStyle name="40% - Accent4 3" xfId="147" xr:uid="{C86D46FC-52AE-45BE-827D-008A12DBBF3C}"/>
    <cellStyle name="40% - Accent4 3 2" xfId="296" xr:uid="{E0B823EA-18A4-4CBA-8058-46792A228958}"/>
    <cellStyle name="40% - Accent4 4" xfId="148" xr:uid="{5E978F79-C194-4D7B-A539-A5F914FB6CA5}"/>
    <cellStyle name="40% - Accent4 4 2" xfId="297" xr:uid="{5CF0BDE6-B0BE-42F3-BD7F-264C797A5AB3}"/>
    <cellStyle name="40% - Accent4 5" xfId="149" xr:uid="{4A8E076E-5F88-4091-9D73-74EEC6718A21}"/>
    <cellStyle name="40% - Accent4 5 2" xfId="298" xr:uid="{496278E5-873F-4249-A1D0-16EA98480E5E}"/>
    <cellStyle name="40% - Accent4 6" xfId="150" xr:uid="{FBA391E8-696E-41C6-AE75-D278E0B71643}"/>
    <cellStyle name="40% - Accent4 6 2" xfId="299" xr:uid="{5386C5C3-7773-4547-BBD5-8A243C474CA9}"/>
    <cellStyle name="40% - Accent4 7" xfId="151" xr:uid="{51F4ADE9-74DC-42A8-9BE1-9D0FFCA92C71}"/>
    <cellStyle name="40% - Accent4 7 2" xfId="300" xr:uid="{53EE35BB-79F1-4398-8F38-2EA262E6176E}"/>
    <cellStyle name="40% - Accent4 8" xfId="152" xr:uid="{4B6DFBEE-5453-47A1-A586-96F17BDA184B}"/>
    <cellStyle name="40% - Accent4 8 2" xfId="301" xr:uid="{D453BBE6-BEE2-439F-8919-7C0607E424E5}"/>
    <cellStyle name="40% - Accent4 9" xfId="153" xr:uid="{69E9B6C8-DDEC-40A5-A9F5-9BCF7B2D323B}"/>
    <cellStyle name="40% - Accent5 10" xfId="154" xr:uid="{C83E7B09-ADB9-476C-A633-E0953526A26D}"/>
    <cellStyle name="40% - Accent5 11" xfId="155" xr:uid="{C4D8BCDE-E29F-4F69-B548-8444C001078D}"/>
    <cellStyle name="40% - Accent5 12" xfId="156" xr:uid="{713BFF6A-7FE7-4DB0-808A-B11ACF7FEF4F}"/>
    <cellStyle name="40% - Accent5 13" xfId="157" xr:uid="{27949BB0-611E-4147-8653-915AE9C4B536}"/>
    <cellStyle name="40% - Accent5 14" xfId="158" xr:uid="{577EC8DB-4474-4912-8A72-C6723DB08F7D}"/>
    <cellStyle name="40% - Accent5 15" xfId="159" xr:uid="{F95485DC-FE12-4E58-9D17-98E2739CC566}"/>
    <cellStyle name="40% - Accent5 16" xfId="160" xr:uid="{D2D981FA-B029-4C87-8452-DC52B1575AD5}"/>
    <cellStyle name="40% - Accent5 2" xfId="161" xr:uid="{5DE39F1E-87B5-4771-8320-E13996F3FD72}"/>
    <cellStyle name="40% - Accent5 3" xfId="162" xr:uid="{82E279CF-7678-4889-8ABA-795C5FD0CD91}"/>
    <cellStyle name="40% - Accent5 4" xfId="163" xr:uid="{3FFBCC98-C385-4398-954A-99DCE522F367}"/>
    <cellStyle name="40% - Accent5 5" xfId="164" xr:uid="{597E3A36-6569-4E80-9C9F-A04A1367BECC}"/>
    <cellStyle name="40% - Accent5 6" xfId="165" xr:uid="{6E527F25-B1A1-4EA3-A972-D0B0388BC7EA}"/>
    <cellStyle name="40% - Accent5 7" xfId="166" xr:uid="{173B267A-8025-4AC4-A025-C180995E2029}"/>
    <cellStyle name="40% - Accent5 8" xfId="167" xr:uid="{8146CA4F-E483-4784-868F-BE743F052736}"/>
    <cellStyle name="40% - Accent5 9" xfId="168" xr:uid="{AC4741DB-0744-49C5-A531-B9C287FA2A20}"/>
    <cellStyle name="40% - Accent6 10" xfId="169" xr:uid="{D0D5D160-1D9D-4689-857F-C6F4FFAE2AA5}"/>
    <cellStyle name="40% - Accent6 11" xfId="170" xr:uid="{35E410B8-973C-4EC5-8A70-5B5658E24925}"/>
    <cellStyle name="40% - Accent6 12" xfId="171" xr:uid="{AF16946F-08D2-4B07-B55D-4605BCF1B330}"/>
    <cellStyle name="40% - Accent6 13" xfId="172" xr:uid="{C56AEFB4-BE0B-40D7-BA0F-16C8FDEFA5E6}"/>
    <cellStyle name="40% - Accent6 14" xfId="173" xr:uid="{81CD16CA-41A5-4B41-8ABA-C617B1051E27}"/>
    <cellStyle name="40% - Accent6 15" xfId="174" xr:uid="{D8236E42-CEA9-478A-9D02-B625AB2ABA9F}"/>
    <cellStyle name="40% - Accent6 16" xfId="175" xr:uid="{DD3606B2-5E25-4D5F-9DCA-085D85138DFD}"/>
    <cellStyle name="40% - Accent6 2" xfId="176" xr:uid="{D9789AA4-CFB6-49C4-B528-5A70FF1075DD}"/>
    <cellStyle name="40% - Accent6 3" xfId="177" xr:uid="{453A1163-9323-49F0-BC2B-CC7046CDB574}"/>
    <cellStyle name="40% - Accent6 4" xfId="178" xr:uid="{10FB88F2-7ED0-4B39-AAB7-45E6A5B51556}"/>
    <cellStyle name="40% - Accent6 5" xfId="179" xr:uid="{3D2842B4-53DC-4784-850B-55BB8D6B9511}"/>
    <cellStyle name="40% - Accent6 6" xfId="180" xr:uid="{5DA22838-C643-4CB1-A3B7-0D860FDB929C}"/>
    <cellStyle name="40% - Accent6 7" xfId="181" xr:uid="{EA87D607-0E13-4E29-8C58-BC174BBB5536}"/>
    <cellStyle name="40% - Accent6 8" xfId="182" xr:uid="{8AEFBB78-1DCD-494A-B0FD-67990185082B}"/>
    <cellStyle name="40% - Accent6 9" xfId="183" xr:uid="{DE9373EB-C789-4F47-AC51-61AB229C7D6F}"/>
    <cellStyle name="60% - Accent1 2" xfId="184" xr:uid="{1970726B-F3AF-4939-A681-05051B9D137E}"/>
    <cellStyle name="60% - Accent1 3" xfId="185" xr:uid="{9FCD0F75-071E-4373-9BE9-EB6B0AC70CEB}"/>
    <cellStyle name="60% - Accent1 4" xfId="186" xr:uid="{9751D4E7-8877-4314-9381-D0BCDD7CC1E5}"/>
    <cellStyle name="60% - Accent2 2" xfId="187" xr:uid="{77F55095-A354-486C-856E-232A55ED555C}"/>
    <cellStyle name="60% - Accent2 3" xfId="188" xr:uid="{AE5D023C-7835-4299-B392-57105084C247}"/>
    <cellStyle name="60% - Accent2 4" xfId="189" xr:uid="{5D2738C9-BA16-4CB5-BAE4-5202B12E4ADD}"/>
    <cellStyle name="60% - Accent3 2" xfId="190" xr:uid="{8F5248E4-9CCC-4D39-AE1F-7DD1F84BFDD2}"/>
    <cellStyle name="60% - Accent3 3" xfId="191" xr:uid="{07D24C35-49C7-480A-B687-701FDBD845C7}"/>
    <cellStyle name="60% - Accent3 4" xfId="192" xr:uid="{652D3C90-278D-4B1C-98A4-70BA8B4E1B69}"/>
    <cellStyle name="60% - Accent4 2" xfId="193" xr:uid="{19E99C36-743F-45B1-8A7F-D5D8C30878A0}"/>
    <cellStyle name="60% - Accent4 3" xfId="194" xr:uid="{FEDB0DC0-9ADE-44C0-9E58-75840EF75603}"/>
    <cellStyle name="60% - Accent4 4" xfId="195" xr:uid="{FB505BFD-5666-4F4B-A693-FAEC90C1CB98}"/>
    <cellStyle name="60% - Accent5 2" xfId="196" xr:uid="{7F0EF01E-490F-4429-9501-F7AF73CF7CF0}"/>
    <cellStyle name="60% - Accent5 3" xfId="197" xr:uid="{32E8E540-EAA1-4B96-9ECF-C574620DEFD8}"/>
    <cellStyle name="60% - Accent5 4" xfId="198" xr:uid="{7B91A77A-4597-4668-8023-4FAE4CBAB434}"/>
    <cellStyle name="60% - Accent6 2" xfId="199" xr:uid="{EA334929-18C4-4AFB-AB93-EB8F28FCE125}"/>
    <cellStyle name="60% - Accent6 3" xfId="200" xr:uid="{2D2DC554-A119-4D39-9AFA-E977CC3997EB}"/>
    <cellStyle name="60% - Accent6 4" xfId="201" xr:uid="{452069AB-BCBD-4337-A29E-B2153DD2B0B8}"/>
    <cellStyle name="Accent1 2" xfId="202" xr:uid="{97EB9830-7454-4DF7-A1DB-689DA917F3B6}"/>
    <cellStyle name="Accent1 2 2" xfId="302" xr:uid="{4D008B26-BEC2-4DA4-9F4F-C2E6558E0E87}"/>
    <cellStyle name="Accent1 3" xfId="203" xr:uid="{9766CAE4-3661-4B40-B965-D8520BFA8EF5}"/>
    <cellStyle name="Accent1 4" xfId="204" xr:uid="{951CCD4E-4062-4D52-AE06-2DC84358F088}"/>
    <cellStyle name="Accent2 2" xfId="205" xr:uid="{A50A83CE-89E7-435E-9A81-9D373DE57C19}"/>
    <cellStyle name="Accent2 3" xfId="206" xr:uid="{C7BCAD08-2D0A-4DF1-8696-F0C0D8AC5AF2}"/>
    <cellStyle name="Accent2 4" xfId="207" xr:uid="{7A7F4C7D-E6EA-4356-9EBA-9EC3BDF6B778}"/>
    <cellStyle name="Accent3 2" xfId="208" xr:uid="{A2B18485-6771-4300-A499-8220AF7E59CC}"/>
    <cellStyle name="Accent3 3" xfId="209" xr:uid="{668B5DD3-B67B-40F1-A785-E69E84C71D54}"/>
    <cellStyle name="Accent3 4" xfId="210" xr:uid="{808EB7DD-0A97-42D3-99DB-58469DDAF1EA}"/>
    <cellStyle name="Accent4 2" xfId="211" xr:uid="{2641F6BC-CA38-41CB-87E9-A1D372496FA0}"/>
    <cellStyle name="Accent4 2 2" xfId="304" xr:uid="{A2D1A170-056D-405C-9ACC-A86AB0C5748D}"/>
    <cellStyle name="Accent4 3" xfId="212" xr:uid="{8CADD052-551B-4804-835B-F26FD7D09002}"/>
    <cellStyle name="Accent4 3 2" xfId="305" xr:uid="{B26A41FA-0AE9-4752-B41A-238949294065}"/>
    <cellStyle name="Accent4 4" xfId="213" xr:uid="{E1C7A0F3-920E-4303-8B2C-AC97C34A30DE}"/>
    <cellStyle name="Accent4 4 2" xfId="306" xr:uid="{8E0AFE6C-9E07-4CB2-96B5-080AB1E7CA87}"/>
    <cellStyle name="Accent4 5" xfId="307" xr:uid="{EAE3383C-371B-448D-97A9-3F31037BC887}"/>
    <cellStyle name="Accent4 6" xfId="308" xr:uid="{0AEAB11B-1BA7-4AEB-9D5B-FB2B598030FA}"/>
    <cellStyle name="Accent4 7" xfId="309" xr:uid="{0AD7032E-33CC-4335-B1B3-A4815E8713E5}"/>
    <cellStyle name="Accent4 8" xfId="310" xr:uid="{8BAA9154-12AE-4CE4-B395-2486ABCFB140}"/>
    <cellStyle name="Accent4 9" xfId="303" xr:uid="{5A700D9D-5B27-4695-A757-1391F8787AB4}"/>
    <cellStyle name="Accent5 2" xfId="214" xr:uid="{F58799A4-43EC-4A1D-A93C-F34DF967D1DC}"/>
    <cellStyle name="Accent5 3" xfId="215" xr:uid="{174CC94C-3B10-415F-B800-653AA1658784}"/>
    <cellStyle name="Accent5 4" xfId="216" xr:uid="{14722E32-F12E-40C5-BD18-8A14A6E052A5}"/>
    <cellStyle name="Accent6 2" xfId="217" xr:uid="{264FBB2E-7F4B-4273-93B7-4709669A0B47}"/>
    <cellStyle name="Accent6 3" xfId="218" xr:uid="{1DAA586B-7B6B-4918-9DB7-396A491746D4}"/>
    <cellStyle name="Accent6 4" xfId="219" xr:uid="{EF6BA77C-C739-4B3D-9D3E-424848E587B0}"/>
    <cellStyle name="Bad 2" xfId="220" xr:uid="{D6499935-3EEB-42FC-A736-C30AE799B1A3}"/>
    <cellStyle name="Bad 3" xfId="221" xr:uid="{40D4F51F-8235-46F7-A398-BA534AC91794}"/>
    <cellStyle name="Bad 4" xfId="222" xr:uid="{83D7FA16-CC33-43CA-A0C2-F31186CC7AEF}"/>
    <cellStyle name="Body: normal cell" xfId="1" xr:uid="{0EB8FB01-A6B9-4425-91A8-A9CBECF9F557}"/>
    <cellStyle name="Calculation 2" xfId="223" xr:uid="{F7657FD9-2E2F-40F3-9B2C-3C9DA6312A0A}"/>
    <cellStyle name="Calculation 2 2" xfId="524" xr:uid="{A5BB18A5-644C-4644-B2F7-B2CE384640AC}"/>
    <cellStyle name="Calculation 2 2 2" xfId="570" xr:uid="{84987974-F773-45E6-9A6D-926DFAED0F39}"/>
    <cellStyle name="Calculation 2 3" xfId="546" xr:uid="{1322703A-617D-4558-8B44-D315F9ED01FC}"/>
    <cellStyle name="Calculation 3" xfId="224" xr:uid="{18F4D07F-EA1E-4917-A77F-8D550B431795}"/>
    <cellStyle name="Calculation 4" xfId="225" xr:uid="{0F43102D-942A-4BB6-A1A5-5A261151E4C3}"/>
    <cellStyle name="Calculation 4 2" xfId="525" xr:uid="{1E5BC5F6-39E3-4F40-9FEB-B95A01D179C5}"/>
    <cellStyle name="Calculation 4 2 2" xfId="571" xr:uid="{93C0210C-FECE-4D2D-8589-70E73448B957}"/>
    <cellStyle name="Calculation 4 3" xfId="547" xr:uid="{36B6D9D1-67D4-4AB7-AE9F-9A8258B445BC}"/>
    <cellStyle name="Check Cell 2" xfId="226" xr:uid="{CBF96A93-95F7-41F1-AEB8-5E6D7245D048}"/>
    <cellStyle name="Check Cell 3" xfId="227" xr:uid="{5F0C15F2-A0DE-4C18-A710-DF0B47121912}"/>
    <cellStyle name="Check Cell 4" xfId="228" xr:uid="{3CCCD22E-5F4D-4A0E-AED3-120E7785678F}"/>
    <cellStyle name="Comma 10" xfId="312" xr:uid="{3AA4239D-281A-484D-9D05-AA341969CC0F}"/>
    <cellStyle name="Comma 11" xfId="311" xr:uid="{634D5987-B9C2-4BB9-BE57-0003246E0EF7}"/>
    <cellStyle name="Comma 2" xfId="229" xr:uid="{C43A2341-A255-4CC6-80D0-09A35ED28A52}"/>
    <cellStyle name="Comma 2 2" xfId="313" xr:uid="{30874003-01D7-4309-B0E1-A9DACDA6650E}"/>
    <cellStyle name="Comma 2 3" xfId="314" xr:uid="{A99F532E-7BED-4BEC-BC73-1B6B90554C80}"/>
    <cellStyle name="Comma 2 4" xfId="315" xr:uid="{671C054E-99DA-4499-A813-8137C38F0266}"/>
    <cellStyle name="Comma 2 5" xfId="316" xr:uid="{3852C2C0-8E49-46E7-8830-FC1A6D43E6D5}"/>
    <cellStyle name="Comma 2 6" xfId="317" xr:uid="{69824632-ED5D-4BF4-BFE1-3005A1FB3C60}"/>
    <cellStyle name="Comma 2 7" xfId="318" xr:uid="{8DC2EA7B-9D47-4068-A9BA-1F05D421AC87}"/>
    <cellStyle name="Comma 2 8" xfId="319" xr:uid="{483944C5-24E7-4302-87D8-456A8EC6653C}"/>
    <cellStyle name="Comma 2 9" xfId="320" xr:uid="{980479EC-4B64-43FC-ACEA-B71E0D3A97BA}"/>
    <cellStyle name="Comma 3" xfId="321" xr:uid="{88E601E0-E317-4954-BACC-F8E412E0BC63}"/>
    <cellStyle name="Comma 4" xfId="322" xr:uid="{CA1622CF-EA2D-4F1D-B115-8528E2D1F564}"/>
    <cellStyle name="Comma 4 2" xfId="323" xr:uid="{8D1D8DDC-844D-41B4-A760-916986D0E240}"/>
    <cellStyle name="Comma 4 3" xfId="324" xr:uid="{E872F05E-779F-4335-BD1A-8B91DEAB11AE}"/>
    <cellStyle name="Comma 5" xfId="325" xr:uid="{20D3D38A-AD1F-436C-B9A0-2E59320B7BB8}"/>
    <cellStyle name="Comma 6" xfId="326" xr:uid="{7703B368-AED7-48EC-8935-9DE29DE0D615}"/>
    <cellStyle name="Comma 7" xfId="327" xr:uid="{B5895084-9B76-471E-A4F1-31CF9DFE26EA}"/>
    <cellStyle name="Comma 8" xfId="328" xr:uid="{E0B85EB0-AD50-469B-85A0-C9DFF87FAE9F}"/>
    <cellStyle name="Comma 9" xfId="329" xr:uid="{005447B3-015B-4989-984D-48C0FD2B9A12}"/>
    <cellStyle name="Currency 2" xfId="331" xr:uid="{A5769EE6-43EE-4A82-BBCB-FA5A221CC663}"/>
    <cellStyle name="Currency 2 2" xfId="332" xr:uid="{38FE37C6-F59A-4C3A-94DC-C0FDCDA5A0B8}"/>
    <cellStyle name="Currency 2 3" xfId="333" xr:uid="{E0EBEB70-6D11-43DD-BD35-43A9ADC071DB}"/>
    <cellStyle name="Currency 2 4" xfId="334" xr:uid="{8D41A5CE-9412-4BA9-91F6-1DBF2B08E157}"/>
    <cellStyle name="Currency 2 5" xfId="335" xr:uid="{AE121F9D-923D-4883-9F79-47AA3067ADFD}"/>
    <cellStyle name="Currency 2 6" xfId="336" xr:uid="{1598A426-D618-42BD-A165-2CE6155A5096}"/>
    <cellStyle name="Currency 2 7" xfId="337" xr:uid="{44FB8AA5-2E45-4D52-81D9-38B737F6CD67}"/>
    <cellStyle name="Currency 2 8" xfId="338" xr:uid="{90024211-1087-4B19-A836-CBA60FD1CA8B}"/>
    <cellStyle name="Currency 2 9" xfId="339" xr:uid="{53CEDBE5-F8DC-485A-B384-A66C7C43C9F7}"/>
    <cellStyle name="Currency 3" xfId="340" xr:uid="{91D2D7F6-9629-4DB2-A557-081D081A0AFC}"/>
    <cellStyle name="Currency 4" xfId="341" xr:uid="{3FDFE4C9-F3F0-4E87-AEED-F1A777B3FAB9}"/>
    <cellStyle name="Currency 5" xfId="342" xr:uid="{0CB13A9A-80A1-42E2-B3B5-7D4B2D4CBC44}"/>
    <cellStyle name="Currency 6" xfId="343" xr:uid="{162371BC-22BA-4EE0-8241-F0AB52F2027E}"/>
    <cellStyle name="Currency 7" xfId="344" xr:uid="{63EC1B96-A540-4C22-A409-C3EC89F5489D}"/>
    <cellStyle name="Currency 8" xfId="330" xr:uid="{F43F7105-55C3-4595-962C-BF7714B89038}"/>
    <cellStyle name="Explanatory Text 2" xfId="230" xr:uid="{57C099F3-FD1B-44A9-94D7-B4D8B9D1E976}"/>
    <cellStyle name="Explanatory Text 3" xfId="231" xr:uid="{E500ADEB-33B8-4259-A87B-D58E2717BC3E}"/>
    <cellStyle name="Explanatory Text 4" xfId="232" xr:uid="{61C88AD7-D2C4-466C-98CE-4AFFE55FC782}"/>
    <cellStyle name="Good 2" xfId="233" xr:uid="{CC336C70-05BE-41B3-83A2-CBFFE6D5707A}"/>
    <cellStyle name="Good 3" xfId="234" xr:uid="{5030DE01-4348-43B3-B15D-507C242C5979}"/>
    <cellStyle name="Good 4" xfId="235" xr:uid="{10C26121-9033-4D95-B465-2E6E8DBFA7FB}"/>
    <cellStyle name="Heading 1 2" xfId="236" xr:uid="{C021C777-BA9B-47C6-9F17-C522B74B4EBC}"/>
    <cellStyle name="Heading 1 2 2" xfId="345" xr:uid="{76DD7ED1-FCE2-471D-BC68-CBD905FCA0DF}"/>
    <cellStyle name="Heading 1 3" xfId="237" xr:uid="{43F4D040-63C4-4D1F-B566-CD1AC89E91F4}"/>
    <cellStyle name="Heading 1 3 2" xfId="346" xr:uid="{793475A2-2DF5-46B3-B0C8-68EDF0CC6F10}"/>
    <cellStyle name="Heading 1 4" xfId="238" xr:uid="{C4722522-CD4C-43FD-84C7-6FEC0AEE4127}"/>
    <cellStyle name="Heading 1 4 2" xfId="347" xr:uid="{C41838D3-3943-480A-9600-61F5CCD2D95A}"/>
    <cellStyle name="Heading 1 5" xfId="348" xr:uid="{0FCED138-051B-4FE5-AC6C-52B72A1A8E4B}"/>
    <cellStyle name="Heading 1 6" xfId="349" xr:uid="{376545D6-D42C-4BFB-BD12-3AA12346C8A2}"/>
    <cellStyle name="Heading 1 7" xfId="350" xr:uid="{7A890A4B-CE55-4D02-93AA-F3A44946CD5E}"/>
    <cellStyle name="Heading 1 8" xfId="351" xr:uid="{CD36595C-604C-4773-BE26-AE49A23AF81D}"/>
    <cellStyle name="Heading 2 2" xfId="239" xr:uid="{B31036B2-821F-4430-9D99-470836AD3276}"/>
    <cellStyle name="Heading 2 3" xfId="240" xr:uid="{FA56F513-ED4E-4516-B7FF-EAAA9C462439}"/>
    <cellStyle name="Heading 2 4" xfId="241" xr:uid="{3373765C-2ED2-4CFB-9539-1BF9849C0F9D}"/>
    <cellStyle name="Heading 3 2" xfId="242" xr:uid="{33B4C6FD-73F4-4B65-ADB0-6DD4D8046603}"/>
    <cellStyle name="Heading 3 3" xfId="243" xr:uid="{647A6CD1-8072-4FE7-B7EF-4C069738E194}"/>
    <cellStyle name="Heading 3 4" xfId="244" xr:uid="{9B1D7753-D3B8-4C8A-9073-A6DA862FDD4D}"/>
    <cellStyle name="Heading 4 2" xfId="245" xr:uid="{DD401614-79A5-4426-9B36-8F5FD8B92F10}"/>
    <cellStyle name="Heading 4 3" xfId="246" xr:uid="{9917C1BD-1C6E-4CF3-9302-BB93C709873A}"/>
    <cellStyle name="Heading 4 4" xfId="247" xr:uid="{D67B1F40-C4E1-449A-8D97-E003D91C0287}"/>
    <cellStyle name="Hyperlink" xfId="592" builtinId="8"/>
    <cellStyle name="Hyperlink 2" xfId="352" xr:uid="{AB9A6FCD-8ADE-4EDC-98C0-7844CD747B5E}"/>
    <cellStyle name="Hyperlink 2 2" xfId="353" xr:uid="{20E42EF3-443D-4357-B600-20CBF4851B76}"/>
    <cellStyle name="Hyperlink 2 3" xfId="354" xr:uid="{3FACF85D-8BAB-44BC-A84D-972657034F49}"/>
    <cellStyle name="Hyperlink 3" xfId="355" xr:uid="{F6220DF7-9AE3-47CB-99CB-FDE3C12BC5A5}"/>
    <cellStyle name="Input 2" xfId="248" xr:uid="{1FAEF555-9B50-4F80-9707-C0F28278CC71}"/>
    <cellStyle name="Input 2 2" xfId="536" xr:uid="{C344F6A4-E108-4C99-9475-E78544C99A6B}"/>
    <cellStyle name="Input 2 2 2" xfId="582" xr:uid="{F7D38454-0A6E-4518-B529-E7C4DAFA741F}"/>
    <cellStyle name="Input 2 3" xfId="548" xr:uid="{D237E574-B6BD-491D-8D28-558C6997324D}"/>
    <cellStyle name="Input 3" xfId="249" xr:uid="{C1C47256-A37D-4B27-AFF8-824AD43ADF0B}"/>
    <cellStyle name="Input 4" xfId="250" xr:uid="{552EF1A6-AB78-47D9-A545-3A245E717351}"/>
    <cellStyle name="Input 4 2" xfId="526" xr:uid="{7A434A09-BF72-4860-9604-DE8D91DC3FEC}"/>
    <cellStyle name="Input 4 2 2" xfId="572" xr:uid="{BAE1AA64-7863-4DE2-B60D-9979F4DF0798}"/>
    <cellStyle name="Input 4 3" xfId="549" xr:uid="{6204BD81-11CD-4736-83CD-FDDCC17749BE}"/>
    <cellStyle name="Linked Cell 2" xfId="251" xr:uid="{AC92CA7C-FD11-44D1-9E2F-52C604C7A893}"/>
    <cellStyle name="Linked Cell 3" xfId="252" xr:uid="{30ED4248-2188-4162-BAAD-44AA7A4C9781}"/>
    <cellStyle name="Linked Cell 4" xfId="253" xr:uid="{94CDC753-CDB1-47C3-B020-AB10A8955D4E}"/>
    <cellStyle name="Neutral 2" xfId="254" xr:uid="{8C2F9D8D-66F1-4CEE-8614-5E559F279844}"/>
    <cellStyle name="Neutral 3" xfId="255" xr:uid="{CD5137E9-0878-41BD-AB30-295594521938}"/>
    <cellStyle name="Neutral 4" xfId="256" xr:uid="{BC7CB05D-8A6E-485E-ADCF-0678E5FC4C08}"/>
    <cellStyle name="Normal" xfId="0" builtinId="0"/>
    <cellStyle name="Normal 10" xfId="356" xr:uid="{C7953D2B-CFC7-4152-9D2E-003075447AC9}"/>
    <cellStyle name="Normal 10 2" xfId="357" xr:uid="{6189C899-A727-49C3-899A-A21913A8495C}"/>
    <cellStyle name="Normal 11 2" xfId="358" xr:uid="{B1852330-C186-4EB3-A95D-69B38EFACEF0}"/>
    <cellStyle name="Normal 11 3" xfId="359" xr:uid="{1DDD5990-A860-4CCC-9CE9-23F612F1EEE4}"/>
    <cellStyle name="Normal 11 4" xfId="360" xr:uid="{647322E7-A2A1-4194-A54F-C6A33B9CA704}"/>
    <cellStyle name="Normal 11 5" xfId="361" xr:uid="{75BB7CD8-517E-4A93-9405-C8B740B1AF03}"/>
    <cellStyle name="Normal 13 2" xfId="362" xr:uid="{4DDD2C11-E206-457D-ABF5-48D99842FBD3}"/>
    <cellStyle name="Normal 13 3" xfId="363" xr:uid="{CBC5F369-F1D9-4858-AEEC-86332056B6EA}"/>
    <cellStyle name="Normal 13 4" xfId="364" xr:uid="{54848621-01EE-41E6-A25D-3225B58EAF8F}"/>
    <cellStyle name="Normal 13 5" xfId="365" xr:uid="{0DD32F4C-97C0-48DC-B77B-133A92A6C060}"/>
    <cellStyle name="Normal 14 2" xfId="366" xr:uid="{2C956B81-5F96-40E7-829B-1A7CDBAB24E3}"/>
    <cellStyle name="Normal 14 3" xfId="367" xr:uid="{9B655BCC-7555-4CBE-8CAA-5D428E376311}"/>
    <cellStyle name="Normal 14 4" xfId="368" xr:uid="{67DD4E62-B5EC-4217-9122-44AEC4CF80CA}"/>
    <cellStyle name="Normal 14 5" xfId="369" xr:uid="{9E0C23AD-874B-4E9D-9799-AD2DE3E1C879}"/>
    <cellStyle name="Normal 15 2" xfId="370" xr:uid="{F4E2806A-3BE9-43FA-82AC-75B15E1E5F5D}"/>
    <cellStyle name="Normal 15 3" xfId="371" xr:uid="{9338F0D9-5CD5-489C-8E10-CB0897105F55}"/>
    <cellStyle name="Normal 15 4" xfId="372" xr:uid="{669E31A5-B0C0-4F18-8F1B-90DC3CAEEA1F}"/>
    <cellStyle name="Normal 15 5" xfId="373" xr:uid="{9002D63B-832F-4EA5-9334-A0DB58677B3B}"/>
    <cellStyle name="Normal 16 2" xfId="374" xr:uid="{EB42E1B2-4682-4B39-A7FD-182A8B9C1B09}"/>
    <cellStyle name="Normal 16 3" xfId="375" xr:uid="{4190130C-9333-4D41-9ADA-65FF0E7002B9}"/>
    <cellStyle name="Normal 16 4" xfId="376" xr:uid="{DCEE74CF-BFFA-495D-9467-0CA4A40C3ABC}"/>
    <cellStyle name="Normal 16 5" xfId="377" xr:uid="{E119E603-BB19-4709-BA49-4271A749AC5C}"/>
    <cellStyle name="Normal 2" xfId="3" xr:uid="{DAFFCEEA-A5D1-47AE-9A13-701F6FB31BBB}"/>
    <cellStyle name="Normal 2 10" xfId="379" xr:uid="{15324EC9-69DD-4515-A73E-A8D35A24BE16}"/>
    <cellStyle name="Normal 2 11" xfId="522" xr:uid="{62DB26E2-F586-4159-95FD-A5640D8509A7}"/>
    <cellStyle name="Normal 2 12" xfId="378" xr:uid="{51800DE2-7E10-4DDE-9D98-53F4C138C177}"/>
    <cellStyle name="Normal 2 2" xfId="380" xr:uid="{5803581D-96E7-4665-8B92-4C922A618940}"/>
    <cellStyle name="Normal 2 2 2" xfId="381" xr:uid="{E6CD70BF-F62D-49C5-827D-0DF0F8C589C5}"/>
    <cellStyle name="Normal 2 2 3" xfId="382" xr:uid="{5FB22FF4-F45D-4D7F-8B2E-88186F23A5B5}"/>
    <cellStyle name="Normal 2 2 4" xfId="383" xr:uid="{7B3CB313-D833-4E69-B28E-A458F7358087}"/>
    <cellStyle name="Normal 2 2 5" xfId="384" xr:uid="{E9627695-C205-463E-B7AA-C01E8BEB9924}"/>
    <cellStyle name="Normal 2 2 6" xfId="385" xr:uid="{FEE21E83-6D2F-4A54-B243-38AD73D6109B}"/>
    <cellStyle name="Normal 2 2 7" xfId="386" xr:uid="{BF645DD5-427A-4741-ABBE-602772237EE6}"/>
    <cellStyle name="Normal 2 2 8" xfId="387" xr:uid="{C0173D2C-6920-45E2-8574-671ADD65ECF1}"/>
    <cellStyle name="Normal 2 2 9" xfId="388" xr:uid="{D670F074-C924-434E-96F7-2CBDA70935C8}"/>
    <cellStyle name="Normal 2 3" xfId="389" xr:uid="{86D24DD3-A9EB-4DCE-8E20-B33160D68F02}"/>
    <cellStyle name="Normal 2 4" xfId="390" xr:uid="{DA4D8545-4436-4DD8-9BBC-CE87755009A8}"/>
    <cellStyle name="Normal 2 5" xfId="391" xr:uid="{EABA618E-A652-41E9-B8CA-4529A0DD3B68}"/>
    <cellStyle name="Normal 2 6" xfId="392" xr:uid="{3E131B25-230E-46F2-AFC8-55D50A8C2913}"/>
    <cellStyle name="Normal 2 7" xfId="393" xr:uid="{75D7C66D-4B77-460B-A6B3-8C3E44EB9EDA}"/>
    <cellStyle name="Normal 2 8" xfId="394" xr:uid="{A2F61E21-DBC6-43CF-B2CB-6F32C922C7D4}"/>
    <cellStyle name="Normal 2 9" xfId="395" xr:uid="{78193E3E-D8AC-4009-AC54-262433529BFB}"/>
    <cellStyle name="Normal 3" xfId="257" xr:uid="{4320B436-E9E7-45BE-BEEF-49556F512D14}"/>
    <cellStyle name="Normal 3 10" xfId="396" xr:uid="{DAD1628C-6AC8-485E-B6A2-6D4130637D0A}"/>
    <cellStyle name="Normal 3 2" xfId="258" xr:uid="{BD96C6BC-1F71-443B-909E-4A6FF4D1DBF5}"/>
    <cellStyle name="Normal 3 2 10" xfId="397" xr:uid="{37D4F96F-BCAA-4B8B-9AF1-D8712FE35E69}"/>
    <cellStyle name="Normal 3 2 2" xfId="398" xr:uid="{52627ACD-0476-4655-9877-D9CABD8C28D3}"/>
    <cellStyle name="Normal 3 2 3" xfId="399" xr:uid="{3CD50C93-5622-4783-A20F-D68D63938DBD}"/>
    <cellStyle name="Normal 3 2 4" xfId="400" xr:uid="{C893C077-4A19-4839-A4DD-B9B88A1E4680}"/>
    <cellStyle name="Normal 3 2 5" xfId="401" xr:uid="{8D52516E-88B9-45BA-8BEC-7B8ED857525C}"/>
    <cellStyle name="Normal 3 2 6" xfId="402" xr:uid="{8F54233F-535D-4043-A78F-A0A2DBB29A62}"/>
    <cellStyle name="Normal 3 2 7" xfId="403" xr:uid="{B86D73B8-4CA6-4FA9-B71C-DCBBF3384CE3}"/>
    <cellStyle name="Normal 3 2 8" xfId="404" xr:uid="{43229174-C07F-4886-8026-B4888F04FB45}"/>
    <cellStyle name="Normal 3 2 9" xfId="405" xr:uid="{9D7C6DD3-B52E-48B9-A113-71551B9D4F3E}"/>
    <cellStyle name="Normal 3 3" xfId="406" xr:uid="{8CE7BBC7-2CDE-427B-888F-465DC121D775}"/>
    <cellStyle name="Normal 3 4" xfId="407" xr:uid="{C8D80100-8F61-4B80-A073-1C6666BFCA94}"/>
    <cellStyle name="Normal 3 5" xfId="408" xr:uid="{FEDEF4ED-B042-428F-8D79-6CFE50758804}"/>
    <cellStyle name="Normal 3 6" xfId="409" xr:uid="{2095BC8F-09F2-4E76-BDCA-D9DED5109CB1}"/>
    <cellStyle name="Normal 3 7" xfId="410" xr:uid="{0DA81BC4-2FBF-4F38-8682-103BD214F5C6}"/>
    <cellStyle name="Normal 3 8" xfId="411" xr:uid="{965D2E89-41EC-4E49-9133-79023F345EE2}"/>
    <cellStyle name="Normal 3 9" xfId="412" xr:uid="{5BF2F6ED-B76B-476B-8867-9BD174AB2435}"/>
    <cellStyle name="Normal 4" xfId="259" xr:uid="{378652E2-FF43-4C49-9075-0681B333FBD6}"/>
    <cellStyle name="Normal 4 2" xfId="413" xr:uid="{3098782C-829A-4F0D-8B24-C519FC86DB83}"/>
    <cellStyle name="Normal 4 3" xfId="414" xr:uid="{B2338AB0-950C-4267-BC2D-6116AC8FAF6F}"/>
    <cellStyle name="Normal 4 4" xfId="415" xr:uid="{1A52A426-37AD-4A80-9438-D684D05B9FEA}"/>
    <cellStyle name="Normal 4 5" xfId="416" xr:uid="{8F7A3A35-3959-4D42-AA8E-39860276607B}"/>
    <cellStyle name="Normal 4 6" xfId="417" xr:uid="{00833D93-721D-4710-95C1-D99F1A4B565E}"/>
    <cellStyle name="Normal 4 7" xfId="418" xr:uid="{231077F7-AAA4-4E9E-9B59-C6DF15A86DF4}"/>
    <cellStyle name="Normal 4 8" xfId="419" xr:uid="{A7A34486-1C73-4835-94EB-0ADFF3B7EB6A}"/>
    <cellStyle name="Normal 4 9" xfId="420" xr:uid="{8C7CD9C9-3799-4258-AD64-1C4ECFA5B6F1}"/>
    <cellStyle name="Normal 5" xfId="421" xr:uid="{C6A1A9B1-5D82-4572-B040-9080E896447F}"/>
    <cellStyle name="Normal 5 2" xfId="422" xr:uid="{7318F0A8-036A-4507-830B-B23734230014}"/>
    <cellStyle name="Normal 5 3" xfId="423" xr:uid="{74ABE543-2988-4E7F-AB5E-3977C252DFC1}"/>
    <cellStyle name="Normal 5 4" xfId="424" xr:uid="{9DCE904A-0583-4309-A46A-F8379A6CD8F2}"/>
    <cellStyle name="Normal 5 5" xfId="425" xr:uid="{219210A9-08A0-41F0-B608-A66BEA9C0400}"/>
    <cellStyle name="Normal 5 6" xfId="426" xr:uid="{AA0509F1-C614-4C0D-B916-181A9045AF8A}"/>
    <cellStyle name="Normal 5 7" xfId="427" xr:uid="{564F1794-B9EF-4F93-9F9C-E3147BFA3DCD}"/>
    <cellStyle name="Normal 5 8" xfId="428" xr:uid="{9C900800-015A-449C-A215-8CBD418C0118}"/>
    <cellStyle name="Normal 5 9" xfId="429" xr:uid="{1E5B9D7B-6DD8-4883-8A0F-70D529E289D7}"/>
    <cellStyle name="Normal 6" xfId="430" xr:uid="{0BD11EB3-099D-4EB2-98CA-4CC7AF3271F7}"/>
    <cellStyle name="Normal 6 10" xfId="431" xr:uid="{53636890-E481-4F41-9531-6DFC73E6F3E5}"/>
    <cellStyle name="Normal 6 2" xfId="432" xr:uid="{B31D08EC-FDFE-412D-82BB-498F5A99493D}"/>
    <cellStyle name="Normal 6 2 2" xfId="433" xr:uid="{4210FEA8-59C6-4FB6-B260-ED95DC0CF8A0}"/>
    <cellStyle name="Normal 6 2 3" xfId="434" xr:uid="{C7DE9057-11BF-40A1-AC63-78EB242FCDB6}"/>
    <cellStyle name="Normal 6 2 4" xfId="435" xr:uid="{ED920366-8354-46F8-B400-53A3F96D0D4B}"/>
    <cellStyle name="Normal 6 2 5" xfId="436" xr:uid="{91DFCBA6-A36E-4700-8EB4-7E054970769C}"/>
    <cellStyle name="Normal 6 2 6" xfId="437" xr:uid="{2DEFDCE5-06AD-4173-A806-D89F17E6572F}"/>
    <cellStyle name="Normal 6 2 7" xfId="438" xr:uid="{43501D76-F1E0-42F4-8864-84BE4B04F140}"/>
    <cellStyle name="Normal 6 2 8" xfId="439" xr:uid="{E04EAD2D-A25D-4D3A-889F-83DCD072EC22}"/>
    <cellStyle name="Normal 6 2 9" xfId="440" xr:uid="{A289BC3F-4871-4A33-B060-F7C1C68F539F}"/>
    <cellStyle name="Normal 6 3" xfId="441" xr:uid="{5E7E89CF-7842-4EAC-AEE3-350556ED60AB}"/>
    <cellStyle name="Normal 6 4" xfId="442" xr:uid="{E726BA9B-B506-4805-9666-323A35DDEA64}"/>
    <cellStyle name="Normal 6 5" xfId="443" xr:uid="{D69E4211-D30B-4347-875E-5E0D8E573B6A}"/>
    <cellStyle name="Normal 6 6" xfId="444" xr:uid="{AB280F43-47A6-486C-B2AC-5AB99302B038}"/>
    <cellStyle name="Normal 6 7" xfId="445" xr:uid="{A2DF40F6-AEA9-4D14-9144-DA1BF85321B8}"/>
    <cellStyle name="Normal 6 8" xfId="446" xr:uid="{F40723B1-0473-44A1-BECF-553ED705949A}"/>
    <cellStyle name="Normal 6 9" xfId="447" xr:uid="{5DF45E8B-EF97-4520-A747-D75220E6BCD4}"/>
    <cellStyle name="Normal 7" xfId="448" xr:uid="{9980DBA5-49D7-4043-827F-32EE1F4FFD07}"/>
    <cellStyle name="Normal 7 2" xfId="449" xr:uid="{6C94220B-52FA-4641-9F4F-088772E79FF5}"/>
    <cellStyle name="Normal 7 2 2" xfId="450" xr:uid="{0E9109E9-7FEF-4722-8D93-9D572ADE46DD}"/>
    <cellStyle name="Normal 7 2 3" xfId="451" xr:uid="{8919868F-BC8A-49BB-A066-54A4135DB2FB}"/>
    <cellStyle name="Normal 7 2 4" xfId="452" xr:uid="{377CF7E1-1C73-4EB8-8998-6B18C307722B}"/>
    <cellStyle name="Normal 7 2 5" xfId="453" xr:uid="{9ACFAAA4-D68A-4BBD-AE84-D2594EBAEF33}"/>
    <cellStyle name="Normal 7 2 6" xfId="454" xr:uid="{2E95EAEC-15E6-4215-A2EF-1537C47A4917}"/>
    <cellStyle name="Normal 7 2 7" xfId="455" xr:uid="{B127F0B0-BFD1-4108-9031-C261315E9012}"/>
    <cellStyle name="Normal 7 2 8" xfId="456" xr:uid="{52B0CF49-9EB7-4484-AE56-B475F3C09442}"/>
    <cellStyle name="Normal 7 2 9" xfId="457" xr:uid="{6A17DB23-BF28-4E42-8185-5FADCB2C914B}"/>
    <cellStyle name="Normal 7 3" xfId="458" xr:uid="{ADF45536-AAB1-4DE9-99A1-B14D614A470F}"/>
    <cellStyle name="Normal 7 4" xfId="459" xr:uid="{073442FB-1E23-40FE-8BD5-6D0E6CC02536}"/>
    <cellStyle name="Normal 8" xfId="460" xr:uid="{A0B69F33-FE9D-4622-A465-845186C3E536}"/>
    <cellStyle name="Normal 9 2" xfId="461" xr:uid="{C00F6C0B-135D-4E86-8950-FE46DC9B0C0B}"/>
    <cellStyle name="Normal 9 3" xfId="462" xr:uid="{A465D716-5C9F-462B-B2EE-C4F6D61A9949}"/>
    <cellStyle name="Normal 9 4" xfId="463" xr:uid="{64EC4FC4-890D-460B-8C81-4C835670FD80}"/>
    <cellStyle name="Normal 9 5" xfId="464" xr:uid="{06F9F53A-03A2-4879-8D8E-CA40D6954028}"/>
    <cellStyle name="Note 10" xfId="260" xr:uid="{3B886737-8023-4AF4-8AC4-15538FCB6411}"/>
    <cellStyle name="Note 10 2" xfId="523" xr:uid="{B3974D81-17AD-45CC-BB1C-ABD679AF92C4}"/>
    <cellStyle name="Note 10 2 2" xfId="569" xr:uid="{35048FE2-9814-43E4-8A64-2FEFECCC9DA9}"/>
    <cellStyle name="Note 10 3" xfId="550" xr:uid="{A9391346-0238-4C92-BEE3-5497A5A6C6A7}"/>
    <cellStyle name="Note 11" xfId="261" xr:uid="{363517E1-C6A7-4CA1-9ADE-73DA0A64E71F}"/>
    <cellStyle name="Note 11 2" xfId="527" xr:uid="{603004B2-3B81-46D0-8C7C-1710B32AE2C0}"/>
    <cellStyle name="Note 11 2 2" xfId="573" xr:uid="{F3247A1F-99D5-47AB-B000-0DB46BC0AB1C}"/>
    <cellStyle name="Note 11 3" xfId="551" xr:uid="{5E35313A-207F-405E-BDB1-D62440DEAF37}"/>
    <cellStyle name="Note 12" xfId="262" xr:uid="{6E864AE9-4B38-44E1-82C4-B8676A628F62}"/>
    <cellStyle name="Note 12 2" xfId="528" xr:uid="{A9340BC1-9129-4EE0-A016-0893F9319875}"/>
    <cellStyle name="Note 12 2 2" xfId="574" xr:uid="{8E797426-B14E-4FDB-8CB0-5B113E8F5F9C}"/>
    <cellStyle name="Note 12 3" xfId="552" xr:uid="{91DC0BA7-97C3-48AA-BC9F-E4A14DD05B5F}"/>
    <cellStyle name="Note 13" xfId="263" xr:uid="{B290251D-BF7C-48DA-9E2F-01273D2B7BA1}"/>
    <cellStyle name="Note 13 2" xfId="529" xr:uid="{C9642F4B-7BE5-497E-88CC-2A95BCF4C6BD}"/>
    <cellStyle name="Note 13 2 2" xfId="575" xr:uid="{640AA7C6-7BD7-4EC7-9200-935DA6DFD9AE}"/>
    <cellStyle name="Note 13 3" xfId="553" xr:uid="{E7D31021-28FF-48D9-9621-D26DCBA6EA79}"/>
    <cellStyle name="Note 14" xfId="264" xr:uid="{B68C4977-E800-4E67-B60B-9C1B1A70147F}"/>
    <cellStyle name="Note 14 2" xfId="530" xr:uid="{5BE9992B-61E1-4C9B-AE6A-BB451A08C2FA}"/>
    <cellStyle name="Note 14 2 2" xfId="576" xr:uid="{6F45D290-E70D-4229-A52D-B40FDE278871}"/>
    <cellStyle name="Note 14 3" xfId="554" xr:uid="{DFCD8D94-7B48-4289-9AA6-6AA72C089E61}"/>
    <cellStyle name="Note 15" xfId="265" xr:uid="{2348482A-A620-482F-ACEA-2FC59F170AE7}"/>
    <cellStyle name="Note 16" xfId="266" xr:uid="{3A0B540C-902F-4F7D-919D-F0C61313B14F}"/>
    <cellStyle name="Note 16 2" xfId="531" xr:uid="{DCC4A477-01E7-43B8-8AF1-B2CA03F0CBD3}"/>
    <cellStyle name="Note 16 2 2" xfId="577" xr:uid="{8027BF59-FEBD-4997-B713-4A4C1259CA94}"/>
    <cellStyle name="Note 16 3" xfId="555" xr:uid="{B996CAF1-A1E3-4E35-B7EE-603DF563513E}"/>
    <cellStyle name="Note 2" xfId="267" xr:uid="{3FE162A8-0319-46A5-9B39-A2B9D031C1E4}"/>
    <cellStyle name="Note 2 2" xfId="532" xr:uid="{F03FABED-E5B9-4E49-977C-C323F6E29317}"/>
    <cellStyle name="Note 2 2 2" xfId="578" xr:uid="{2587BF1B-A994-4EC7-B85D-3C0FB5F17556}"/>
    <cellStyle name="Note 2 3" xfId="556" xr:uid="{C584460D-EBD5-48D1-9EAC-5736FE05CA78}"/>
    <cellStyle name="Note 3" xfId="268" xr:uid="{F71DC4EF-8B9D-4613-A3D0-EE03AA957884}"/>
    <cellStyle name="Note 3 2" xfId="533" xr:uid="{1DFFA7B0-C890-4C50-9804-DEFB345D6965}"/>
    <cellStyle name="Note 3 2 2" xfId="579" xr:uid="{37A732F8-C523-4D13-85FF-832BFF648DF3}"/>
    <cellStyle name="Note 3 3" xfId="557" xr:uid="{F8A6A502-14CA-40F0-BB2A-0BEE505C5927}"/>
    <cellStyle name="Note 4" xfId="269" xr:uid="{693EF8B0-9442-47C1-B032-5B8B627B8AD7}"/>
    <cellStyle name="Note 4 2" xfId="534" xr:uid="{48A5013E-CFA8-44AD-BAC6-0488696CF6B1}"/>
    <cellStyle name="Note 4 2 2" xfId="580" xr:uid="{6E9E0C45-B636-4813-B4D4-03A38EDEF69B}"/>
    <cellStyle name="Note 4 3" xfId="558" xr:uid="{8CD549A6-93E4-41E4-9F59-DDFBA1C2028A}"/>
    <cellStyle name="Note 5" xfId="270" xr:uid="{99CF41B9-1AFC-4080-BAB5-4D54B23D2E8A}"/>
    <cellStyle name="Note 5 2" xfId="535" xr:uid="{5C4EB585-8AA2-457C-9644-3F200B6B9333}"/>
    <cellStyle name="Note 5 2 2" xfId="581" xr:uid="{7F91A7E6-F295-4974-B94B-DF0032D5C320}"/>
    <cellStyle name="Note 5 3" xfId="559" xr:uid="{666DFC1B-227A-45E9-B46C-4F6FE176385C}"/>
    <cellStyle name="Note 6" xfId="271" xr:uid="{91BFEFAB-D694-4FEF-B679-D17CBBADED2E}"/>
    <cellStyle name="Note 6 2" xfId="2" xr:uid="{884464C6-1A71-42D9-B56D-170C8E7C2F01}"/>
    <cellStyle name="Note 6 2 2" xfId="545" xr:uid="{A718CF54-B50F-4FC4-97E9-96F3E04AB718}"/>
    <cellStyle name="Note 6 3" xfId="560" xr:uid="{B7F28B62-9D66-4C34-B41A-2417F4BF00D4}"/>
    <cellStyle name="Note 7" xfId="272" xr:uid="{B0CCCC22-CE91-425D-8CF3-8AFFD8E6A449}"/>
    <cellStyle name="Note 7 2" xfId="537" xr:uid="{188EE1FE-EDF0-4A51-A203-E60149E7FACB}"/>
    <cellStyle name="Note 7 2 2" xfId="583" xr:uid="{A3A5C633-91F3-4B51-8889-1C2A649D4483}"/>
    <cellStyle name="Note 7 3" xfId="561" xr:uid="{0EB565AE-3410-454E-BACA-FB74E7A82BF1}"/>
    <cellStyle name="Note 8" xfId="273" xr:uid="{0374835E-AEBE-4EAB-A0FA-AA81672367D0}"/>
    <cellStyle name="Note 8 2" xfId="538" xr:uid="{FCD03D83-0C4A-4672-95BD-761BF8307F68}"/>
    <cellStyle name="Note 8 2 2" xfId="584" xr:uid="{190EF96E-5B70-4683-9C29-037AEC53FD4C}"/>
    <cellStyle name="Note 8 3" xfId="562" xr:uid="{18F2E965-27CD-4DA4-AD95-988A86439D0E}"/>
    <cellStyle name="Note 9" xfId="274" xr:uid="{687CCDD2-1968-4356-ABDD-F2B104066E70}"/>
    <cellStyle name="Note 9 2" xfId="539" xr:uid="{3159B7EC-B7A2-4C37-8432-C0D0A68B508D}"/>
    <cellStyle name="Note 9 2 2" xfId="585" xr:uid="{99371319-F9CA-41A3-BE73-4AEDEE5AB502}"/>
    <cellStyle name="Note 9 3" xfId="563" xr:uid="{0F6C3385-B485-4F0C-96AD-0B1C8F32BDDF}"/>
    <cellStyle name="Output 2" xfId="275" xr:uid="{49102852-07CF-4BE2-87DC-A4BA5A86BE86}"/>
    <cellStyle name="Output 2 2" xfId="540" xr:uid="{77BCB6DE-4F7D-4C44-AFEC-565610FB5253}"/>
    <cellStyle name="Output 2 2 2" xfId="586" xr:uid="{B2F4CD57-299F-44AE-918A-F74874D3F99C}"/>
    <cellStyle name="Output 2 3" xfId="564" xr:uid="{4B956A3D-2B32-4499-95AC-DBFFF75EE701}"/>
    <cellStyle name="Output 3" xfId="276" xr:uid="{8CA68BFF-3760-4F79-9C39-57B453390715}"/>
    <cellStyle name="Output 4" xfId="277" xr:uid="{FD321940-6724-4765-AAD1-3708B28A1984}"/>
    <cellStyle name="Output 4 2" xfId="541" xr:uid="{2CF08298-6D65-4616-B2AD-BF2CA3468638}"/>
    <cellStyle name="Output 4 2 2" xfId="587" xr:uid="{A1B26142-B4FC-4A25-BB97-D1811CCD0DEB}"/>
    <cellStyle name="Output 4 3" xfId="565" xr:uid="{9330AB1C-79CA-49FE-8542-5B73EA319F24}"/>
    <cellStyle name="Percent" xfId="591" builtinId="5"/>
    <cellStyle name="Percent 10" xfId="466" xr:uid="{03A5ED2A-1952-4C70-8C8B-F8ED7529E6EC}"/>
    <cellStyle name="Percent 10 2" xfId="467" xr:uid="{F8640A06-65E1-4E69-B09D-CCA30BAA4583}"/>
    <cellStyle name="Percent 11" xfId="468" xr:uid="{1E1640E9-8677-4C87-A803-36D382E2E804}"/>
    <cellStyle name="Percent 12" xfId="469" xr:uid="{0942E7BD-B6C9-423E-9E06-F42EAF8FE2FE}"/>
    <cellStyle name="Percent 12 2" xfId="470" xr:uid="{5B29CD3F-2892-4817-AD2E-847902CD1D72}"/>
    <cellStyle name="Percent 13" xfId="471" xr:uid="{18C4F7EB-7160-4FAA-9521-0C7B5F9E1BC1}"/>
    <cellStyle name="Percent 14" xfId="472" xr:uid="{FB62CF8A-5843-4DEA-8840-A4BCDAB12CED}"/>
    <cellStyle name="Percent 15" xfId="473" xr:uid="{A58C2A5B-DC04-43E8-9644-50F0C135CF0E}"/>
    <cellStyle name="Percent 15 2" xfId="474" xr:uid="{A6938285-39DF-41AF-8EF8-B5D9FB0C85F1}"/>
    <cellStyle name="Percent 15 3" xfId="475" xr:uid="{BC2EDDE8-7878-4666-880D-30248EF91084}"/>
    <cellStyle name="Percent 15 3 2" xfId="476" xr:uid="{D0EC9D52-FF49-426F-B477-FB85793EC963}"/>
    <cellStyle name="Percent 16" xfId="477" xr:uid="{5B986EDD-B5AD-48AD-8AE1-57EDC8ECFC23}"/>
    <cellStyle name="Percent 17" xfId="478" xr:uid="{E2990CC5-16D1-4C3F-B55B-7F0B77F25017}"/>
    <cellStyle name="Percent 17 2" xfId="479" xr:uid="{698A5884-8D62-43A4-A26E-4010CA465591}"/>
    <cellStyle name="Percent 18" xfId="480" xr:uid="{D1A155B6-2269-4AB4-9D51-091E45A72430}"/>
    <cellStyle name="Percent 19" xfId="465" xr:uid="{DB2F7240-AC17-4285-A349-EA464B542F80}"/>
    <cellStyle name="Percent 2" xfId="278" xr:uid="{64E6D9E4-D73F-45F7-8BCB-0B8A3AF0675F}"/>
    <cellStyle name="Percent 2 2" xfId="481" xr:uid="{65AABF43-0E8D-4482-A080-2B80B0D95811}"/>
    <cellStyle name="Percent 2 3" xfId="482" xr:uid="{900D4DB9-62A9-4959-ADD7-D7C759E8DCBF}"/>
    <cellStyle name="Percent 2 4" xfId="483" xr:uid="{90B8478D-89D0-4A50-86EF-AF450FC21F53}"/>
    <cellStyle name="Percent 2 5" xfId="484" xr:uid="{1F7C7570-2D92-4E14-BBD7-546A61D6C0CE}"/>
    <cellStyle name="Percent 2 6" xfId="485" xr:uid="{5FD20DB3-04B9-4C92-866E-89D7E1BD1155}"/>
    <cellStyle name="Percent 2 7" xfId="486" xr:uid="{D2989A8A-19C7-48AC-9AF7-E20896ADA628}"/>
    <cellStyle name="Percent 2 8" xfId="487" xr:uid="{2F26385E-AEE8-4DC5-A0BF-B2C265396618}"/>
    <cellStyle name="Percent 2 9" xfId="488" xr:uid="{ED0FFFF9-38DD-4E46-AAE4-74C763B9AA43}"/>
    <cellStyle name="Percent 3" xfId="489" xr:uid="{712ECAF2-589F-47A3-B3A5-B419352E5A6F}"/>
    <cellStyle name="Percent 4" xfId="490" xr:uid="{E67ECB5F-EA8E-419B-898B-D156E74C4766}"/>
    <cellStyle name="Percent 4 2" xfId="491" xr:uid="{D3994722-7AEC-40D0-973D-EFFB26044453}"/>
    <cellStyle name="Percent 4 3" xfId="492" xr:uid="{C78CA2A9-A90D-4FD1-904F-AE3AE0D23335}"/>
    <cellStyle name="Percent 5" xfId="493" xr:uid="{14022432-8953-4DAC-A4C7-22F2A9C256DB}"/>
    <cellStyle name="Percent 5 2" xfId="494" xr:uid="{CD3FEE7C-D67A-494A-9FB0-D419C5C21F41}"/>
    <cellStyle name="Percent 5 2 2" xfId="495" xr:uid="{4DAE3BD3-D14E-4D1E-96BF-4AFE6FD2DA7A}"/>
    <cellStyle name="Percent 5 2 3" xfId="496" xr:uid="{EB7AABF3-15F1-4A71-A927-2239457F9F24}"/>
    <cellStyle name="Percent 5 2 4" xfId="497" xr:uid="{BCD0B343-8CE9-4D8E-AFB3-6B0D35E6962A}"/>
    <cellStyle name="Percent 5 2 5" xfId="498" xr:uid="{4956B7A6-3243-4183-84B7-C5B9E9A417DC}"/>
    <cellStyle name="Percent 5 3" xfId="499" xr:uid="{A954D214-60EA-4EFF-8F9C-E0D29A8CDF04}"/>
    <cellStyle name="Percent 5 4" xfId="500" xr:uid="{92C69CF4-B965-47E3-928B-E17879D89441}"/>
    <cellStyle name="Percent 5 5" xfId="501" xr:uid="{31620DC6-67F8-4BD7-BF55-F7EC71380245}"/>
    <cellStyle name="Percent 5 6" xfId="502" xr:uid="{551C2163-3565-421B-911E-9C6763F7B564}"/>
    <cellStyle name="Percent 5 7" xfId="503" xr:uid="{E4DA44B7-BCC4-46EA-9063-6466DC5A89A6}"/>
    <cellStyle name="Percent 5 8" xfId="504" xr:uid="{F4312F18-D9CB-4693-8275-989062D0F4C5}"/>
    <cellStyle name="Percent 6" xfId="505" xr:uid="{3ECB8DF9-3EBF-40BB-9A0A-B2970756F321}"/>
    <cellStyle name="Percent 6 2" xfId="506" xr:uid="{067BDDC1-A2D3-4AA2-828F-2199C2CB7D91}"/>
    <cellStyle name="Percent 6 3" xfId="507" xr:uid="{43A6C2F9-10CB-4556-85F4-D6D837A775BD}"/>
    <cellStyle name="Percent 6 4" xfId="508" xr:uid="{94667A41-943B-4937-A014-7F55833F5BEE}"/>
    <cellStyle name="Percent 6 5" xfId="509" xr:uid="{660859D4-EB76-493D-942C-5788A8D864A7}"/>
    <cellStyle name="Percent 6 6" xfId="510" xr:uid="{DDBDCE34-F850-449A-BECB-4D1CEDD13944}"/>
    <cellStyle name="Percent 7" xfId="511" xr:uid="{FC6BEAB7-E7C1-4DBA-8E15-4C1CFB918EE0}"/>
    <cellStyle name="Percent 7 2" xfId="512" xr:uid="{6714849B-5BA6-4136-AF51-84E5BA60F5EE}"/>
    <cellStyle name="Percent 7 3" xfId="513" xr:uid="{DFA3B46B-FB26-4BFB-BCFD-E22AEA5B6FDE}"/>
    <cellStyle name="Percent 7 4" xfId="514" xr:uid="{44FCD2C4-ED24-43C8-9C71-3191ADA9434D}"/>
    <cellStyle name="Percent 7 5" xfId="515" xr:uid="{6AE39923-2E75-41B1-9983-69993C8A2717}"/>
    <cellStyle name="Percent 8" xfId="516" xr:uid="{5853F4E2-A031-4F24-B6C0-6BABB545ADCB}"/>
    <cellStyle name="Percent 8 2" xfId="517" xr:uid="{F3AD20A3-6948-4D90-BC22-C5CF9FCDDC4B}"/>
    <cellStyle name="Percent 9" xfId="518" xr:uid="{B2BECC26-4D96-4943-A32D-CF30B58611B9}"/>
    <cellStyle name="Percent 9 2" xfId="519" xr:uid="{8E482407-0724-4E48-B244-51E3463B3CA7}"/>
    <cellStyle name="Title 2" xfId="279" xr:uid="{A70BF4B1-3E4F-42FA-B735-000113335369}"/>
    <cellStyle name="Title 2 2" xfId="520" xr:uid="{B10AF9CF-BF14-4DC6-ADF3-E19E5EE34E06}"/>
    <cellStyle name="Title 3" xfId="280" xr:uid="{9AE135B8-B092-45E4-A97E-554F00898630}"/>
    <cellStyle name="Title 4" xfId="281" xr:uid="{3FFB6AB0-A9CA-4217-A2E3-8A46C15ECEBB}"/>
    <cellStyle name="Total 2" xfId="282" xr:uid="{A68BD4C9-14CC-4462-8288-8A9573B1BE52}"/>
    <cellStyle name="Total 2 2" xfId="542" xr:uid="{1096D663-1158-49C3-8D49-79473D26702C}"/>
    <cellStyle name="Total 2 2 2" xfId="588" xr:uid="{2C221F8B-1BD1-4812-9E53-F784037762CD}"/>
    <cellStyle name="Total 2 3" xfId="566" xr:uid="{9ECD3466-A509-45D7-A492-7F2BFC2B4ACB}"/>
    <cellStyle name="Total 3" xfId="283" xr:uid="{0CDC198E-FB9A-42E8-9727-7952274A5820}"/>
    <cellStyle name="Total 4" xfId="284" xr:uid="{D2E56002-4550-4F4F-8D1D-F18AA72792A5}"/>
    <cellStyle name="Total 4 2" xfId="543" xr:uid="{4071297A-AC2B-4668-9929-7F960DBA5E0E}"/>
    <cellStyle name="Total 4 2 2" xfId="589" xr:uid="{3DDF8519-6834-4819-801A-50074B35FAC4}"/>
    <cellStyle name="Total 4 3" xfId="567" xr:uid="{C2E43F56-518F-47FD-A1C7-C82D3AAF9CB3}"/>
    <cellStyle name="Total 5" xfId="521" xr:uid="{87D383BA-266E-4EC1-B97D-D24DD4E0C63F}"/>
    <cellStyle name="Total 5 2" xfId="544" xr:uid="{60252B90-F44B-49D5-960C-B47BCE8C4839}"/>
    <cellStyle name="Total 5 2 2" xfId="590" xr:uid="{A8F99E3C-3374-4F8D-9B0C-4A2E0D8F9293}"/>
    <cellStyle name="Total 5 3" xfId="568" xr:uid="{242B0DF5-D2DD-444E-96E0-AAA39C730F53}"/>
    <cellStyle name="Warning Text 2" xfId="285" xr:uid="{28A74F01-CC63-4A96-8CFE-3724B7B61FAA}"/>
    <cellStyle name="Warning Text 3" xfId="286" xr:uid="{6E91E994-4750-4B46-8C6D-363BDF941C21}"/>
    <cellStyle name="Warning Text 4" xfId="287" xr:uid="{915543E1-D084-4D7F-B94F-00EF19B9C315}"/>
  </cellStyles>
  <dxfs count="695">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b val="0"/>
        <i val="0"/>
        <color theme="1"/>
      </font>
      <fill>
        <patternFill patternType="none">
          <bgColor auto="1"/>
        </patternFill>
      </fill>
    </dxf>
    <dxf>
      <font>
        <b val="0"/>
        <i val="0"/>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theme="1"/>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b/>
        <i val="0"/>
        <u/>
        <color theme="1"/>
      </font>
      <fill>
        <patternFill>
          <bgColor rgb="FFFFC000"/>
        </patternFill>
      </fill>
    </dxf>
    <dxf>
      <font>
        <b/>
        <i val="0"/>
        <color rgb="FFFF0000"/>
      </font>
      <fill>
        <patternFill patternType="none">
          <bgColor auto="1"/>
        </patternFill>
      </fill>
    </dxf>
    <dxf>
      <font>
        <b/>
        <i val="0"/>
        <color rgb="FFFF0000"/>
      </font>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u/>
        <color theme="1"/>
      </font>
      <fill>
        <patternFill>
          <bgColor theme="5" tint="0.79998168889431442"/>
        </patternFill>
      </fill>
    </dxf>
    <dxf>
      <font>
        <b val="0"/>
        <i val="0"/>
      </font>
      <fill>
        <patternFill patternType="none">
          <bgColor auto="1"/>
        </patternFill>
      </fill>
    </dxf>
    <dxf>
      <font>
        <color theme="0" tint="-0.14996795556505021"/>
      </font>
    </dxf>
    <dxf>
      <font>
        <b/>
        <i val="0"/>
        <u/>
        <color theme="1"/>
      </font>
      <fill>
        <patternFill>
          <bgColor theme="5" tint="0.79998168889431442"/>
        </patternFill>
      </fill>
    </dxf>
    <dxf>
      <font>
        <b val="0"/>
        <i val="0"/>
        <color theme="1"/>
      </font>
      <fill>
        <patternFill patternType="none">
          <bgColor auto="1"/>
        </patternFill>
      </fill>
    </dxf>
    <dxf>
      <font>
        <b val="0"/>
        <i val="0"/>
      </font>
      <fill>
        <patternFill patternType="none">
          <bgColor auto="1"/>
        </patternFill>
      </fill>
    </dxf>
    <dxf>
      <font>
        <color theme="0" tint="-0.14996795556505021"/>
      </font>
    </dxf>
    <dxf>
      <font>
        <b/>
        <i val="0"/>
        <u/>
        <color theme="1"/>
      </font>
      <fill>
        <patternFill>
          <bgColor theme="5" tint="0.79998168889431442"/>
        </patternFill>
      </fill>
    </dxf>
    <dxf>
      <font>
        <b val="0"/>
        <i val="0"/>
      </font>
      <fill>
        <patternFill patternType="none">
          <bgColor auto="1"/>
        </patternFill>
      </fill>
    </dxf>
    <dxf>
      <font>
        <color theme="0" tint="-0.14996795556505021"/>
      </font>
    </dxf>
    <dxf>
      <font>
        <b/>
        <i val="0"/>
        <u/>
        <color theme="1"/>
      </font>
      <fill>
        <patternFill>
          <bgColor theme="5" tint="0.79998168889431442"/>
        </patternFill>
      </fill>
    </dxf>
    <dxf>
      <font>
        <b val="0"/>
        <i val="0"/>
      </font>
      <fill>
        <patternFill patternType="none">
          <bgColor auto="1"/>
        </patternFill>
      </fill>
    </dxf>
    <dxf>
      <font>
        <color theme="0" tint="-0.14996795556505021"/>
      </font>
    </dxf>
    <dxf>
      <font>
        <b/>
        <i val="0"/>
        <u/>
        <color theme="1"/>
      </font>
      <fill>
        <patternFill>
          <bgColor theme="5" tint="0.79998168889431442"/>
        </patternFill>
      </fill>
    </dxf>
    <dxf>
      <font>
        <b val="0"/>
        <i val="0"/>
        <color theme="1"/>
      </font>
      <fill>
        <patternFill patternType="none">
          <bgColor auto="1"/>
        </patternFill>
      </fill>
    </dxf>
    <dxf>
      <font>
        <b val="0"/>
        <i val="0"/>
      </font>
      <fill>
        <patternFill patternType="none">
          <bgColor auto="1"/>
        </patternFill>
      </fill>
    </dxf>
    <dxf>
      <font>
        <color theme="0" tint="-0.14996795556505021"/>
      </font>
    </dxf>
    <dxf>
      <font>
        <b/>
        <i val="0"/>
        <u/>
        <color theme="1"/>
      </font>
      <fill>
        <patternFill>
          <bgColor theme="5" tint="0.79998168889431442"/>
        </patternFill>
      </fill>
    </dxf>
    <dxf>
      <font>
        <b val="0"/>
        <i val="0"/>
        <color theme="1"/>
      </font>
      <fill>
        <patternFill patternType="none">
          <bgColor auto="1"/>
        </patternFill>
      </fill>
    </dxf>
    <dxf>
      <font>
        <b val="0"/>
        <i val="0"/>
      </font>
      <fill>
        <patternFill patternType="none">
          <bgColor auto="1"/>
        </patternFill>
      </fill>
    </dxf>
    <dxf>
      <font>
        <b val="0"/>
        <i val="0"/>
      </font>
      <fill>
        <patternFill patternType="none">
          <bgColor auto="1"/>
        </patternFill>
      </fill>
    </dxf>
    <dxf>
      <font>
        <b/>
        <i val="0"/>
        <u/>
        <color theme="1"/>
      </font>
      <fill>
        <patternFill>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b/>
        <i val="0"/>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b/>
        <i val="0"/>
        <color theme="1"/>
      </font>
    </dxf>
    <dxf>
      <font>
        <b val="0"/>
        <i val="0"/>
        <color theme="0" tint="-0.14996795556505021"/>
      </font>
      <fill>
        <patternFill patternType="none">
          <bgColor auto="1"/>
        </patternFill>
      </fill>
    </dxf>
    <dxf>
      <font>
        <color theme="0" tint="-0.14996795556505021"/>
      </font>
    </dxf>
    <dxf>
      <font>
        <b/>
        <i val="0"/>
        <color theme="1"/>
      </font>
    </dxf>
    <dxf>
      <font>
        <color theme="0" tint="-0.14996795556505021"/>
      </font>
    </dxf>
    <dxf>
      <font>
        <color theme="0" tint="-0.14996795556505021"/>
      </font>
    </dxf>
    <dxf>
      <font>
        <b/>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theme="1"/>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ont>
        <b val="0"/>
        <i val="0"/>
        <color theme="1"/>
      </font>
      <fill>
        <patternFill patternType="none">
          <bgColor auto="1"/>
        </patternFill>
      </fill>
    </dxf>
    <dxf>
      <fill>
        <patternFill>
          <bgColor theme="9" tint="0.79998168889431442"/>
        </patternFill>
      </fill>
    </dxf>
    <dxf>
      <font>
        <b val="0"/>
        <i val="0"/>
      </font>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theme="1"/>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u val="none"/>
        <color theme="1"/>
      </font>
      <fill>
        <patternFill patternType="none">
          <bgColor auto="1"/>
        </patternFill>
      </fill>
    </dxf>
    <dxf>
      <font>
        <b/>
        <i val="0"/>
        <u/>
        <color theme="1"/>
      </font>
      <fill>
        <patternFill>
          <bgColor theme="9" tint="0.79998168889431442"/>
        </patternFill>
      </fill>
    </dxf>
    <dxf>
      <font>
        <color theme="0" tint="-0.14996795556505021"/>
      </font>
    </dxf>
    <dxf>
      <font>
        <b val="0"/>
        <i val="0"/>
        <u val="none"/>
        <color theme="1"/>
      </font>
      <fill>
        <patternFill patternType="none">
          <bgColor auto="1"/>
        </patternFill>
      </fill>
    </dxf>
    <dxf>
      <font>
        <b/>
        <i val="0"/>
        <u/>
        <color theme="1"/>
      </font>
      <fill>
        <patternFill>
          <bgColor theme="9" tint="0.79998168889431442"/>
        </patternFill>
      </fill>
    </dxf>
    <dxf>
      <font>
        <color theme="0" tint="-0.14996795556505021"/>
      </font>
    </dxf>
    <dxf>
      <font>
        <b val="0"/>
        <i val="0"/>
        <u val="none"/>
        <color theme="1"/>
      </font>
      <fill>
        <patternFill patternType="none">
          <bgColor auto="1"/>
        </patternFill>
      </fill>
    </dxf>
    <dxf>
      <font>
        <b/>
        <i val="0"/>
        <u/>
        <color theme="1"/>
      </font>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u/>
        <color theme="1"/>
      </font>
      <fill>
        <patternFill>
          <bgColor theme="9" tint="0.79998168889431442"/>
        </patternFill>
      </fill>
    </dxf>
    <dxf>
      <font>
        <b val="0"/>
        <i val="0"/>
        <u val="none"/>
        <color theme="1"/>
      </font>
      <fill>
        <patternFill patternType="none">
          <bgColor auto="1"/>
        </patternFill>
      </fill>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b/>
        <i val="0"/>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dxf>
    <dxf>
      <font>
        <color theme="1"/>
      </font>
    </dxf>
    <dxf>
      <font>
        <color theme="1"/>
      </font>
    </dxf>
    <dxf>
      <font>
        <color theme="1"/>
      </font>
    </dxf>
    <dxf>
      <font>
        <color theme="0" tint="-0.14996795556505021"/>
      </font>
    </dxf>
    <dxf>
      <font>
        <color theme="0" tint="-0.14996795556505021"/>
      </font>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b/>
        <i val="0"/>
        <color auto="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24994659260841701"/>
      </font>
    </dxf>
    <dxf>
      <font>
        <b val="0"/>
        <i val="0"/>
        <color theme="0" tint="-0.24994659260841701"/>
      </font>
    </dxf>
    <dxf>
      <font>
        <color theme="0" tint="-0.14996795556505021"/>
      </font>
    </dxf>
    <dxf>
      <font>
        <color theme="0" tint="-0.1499679555650502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1"/>
      </font>
    </dxf>
    <dxf>
      <font>
        <b val="0"/>
        <i val="0"/>
        <color theme="1"/>
      </font>
    </dxf>
    <dxf>
      <font>
        <b val="0"/>
        <i val="0"/>
        <color theme="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fill>
        <patternFill patternType="none">
          <bgColor auto="1"/>
        </patternFill>
      </fill>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24994659260841701"/>
      </font>
    </dxf>
    <dxf>
      <font>
        <b val="0"/>
        <i val="0"/>
        <color theme="0" tint="-0.24994659260841701"/>
      </font>
    </dxf>
    <dxf>
      <font>
        <b val="0"/>
        <i val="0"/>
        <color theme="0" tint="-0.24994659260841701"/>
      </font>
    </dxf>
    <dxf>
      <font>
        <color theme="0" tint="-0.14996795556505021"/>
      </font>
    </dxf>
    <dxf>
      <font>
        <b val="0"/>
        <i val="0"/>
        <color theme="0" tint="-0.24994659260841701"/>
      </font>
    </dxf>
    <dxf>
      <font>
        <b/>
        <i val="0"/>
      </font>
    </dxf>
    <dxf>
      <font>
        <color theme="0" tint="-0.14996795556505021"/>
      </font>
    </dxf>
    <dxf>
      <font>
        <color theme="0" tint="-0.14996795556505021"/>
      </font>
    </dxf>
    <dxf>
      <font>
        <b val="0"/>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MilestoneGraphs_Calc!$H$9</c:f>
              <c:strCache>
                <c:ptCount val="1"/>
                <c:pt idx="0">
                  <c:v>Low</c:v>
                </c:pt>
              </c:strCache>
            </c:strRef>
          </c:tx>
          <c:spPr>
            <a:solidFill>
              <a:schemeClr val="accent2">
                <a:lumMod val="20000"/>
                <a:lumOff val="80000"/>
              </a:schemeClr>
            </a:solidFill>
            <a:ln>
              <a:noFill/>
            </a:ln>
            <a:effectLst/>
          </c:spPr>
          <c:invertIfNegative val="0"/>
          <c:dPt>
            <c:idx val="0"/>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1-4F87-4929-B365-A2EE9F1F3D33}"/>
              </c:ext>
            </c:extLst>
          </c:dPt>
          <c:val>
            <c:numRef>
              <c:f>MilestoneGraphs_Calc!$I$9</c:f>
              <c:numCache>
                <c:formatCode>General</c:formatCode>
                <c:ptCount val="1"/>
                <c:pt idx="0">
                  <c:v>2</c:v>
                </c:pt>
              </c:numCache>
            </c:numRef>
          </c:val>
          <c:extLst>
            <c:ext xmlns:c16="http://schemas.microsoft.com/office/drawing/2014/chart" uri="{C3380CC4-5D6E-409C-BE32-E72D297353CC}">
              <c16:uniqueId val="{00000002-4F87-4929-B365-A2EE9F1F3D33}"/>
            </c:ext>
          </c:extLst>
        </c:ser>
        <c:ser>
          <c:idx val="1"/>
          <c:order val="1"/>
          <c:tx>
            <c:strRef>
              <c:f>MilestoneGraphs_Calc!$H$10</c:f>
              <c:strCache>
                <c:ptCount val="1"/>
                <c:pt idx="0">
                  <c:v>Medium</c:v>
                </c:pt>
              </c:strCache>
            </c:strRef>
          </c:tx>
          <c:spPr>
            <a:solidFill>
              <a:srgbClr val="FFFF00"/>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3-6F9C-43FF-9705-F0F791A35035}"/>
              </c:ext>
            </c:extLst>
          </c:dPt>
          <c:val>
            <c:numRef>
              <c:f>MilestoneGraphs_Calc!$I$10</c:f>
              <c:numCache>
                <c:formatCode>General</c:formatCode>
                <c:ptCount val="1"/>
                <c:pt idx="0">
                  <c:v>2</c:v>
                </c:pt>
              </c:numCache>
            </c:numRef>
          </c:val>
          <c:extLst>
            <c:ext xmlns:c16="http://schemas.microsoft.com/office/drawing/2014/chart" uri="{C3380CC4-5D6E-409C-BE32-E72D297353CC}">
              <c16:uniqueId val="{00000003-4F87-4929-B365-A2EE9F1F3D33}"/>
            </c:ext>
          </c:extLst>
        </c:ser>
        <c:ser>
          <c:idx val="2"/>
          <c:order val="2"/>
          <c:tx>
            <c:strRef>
              <c:f>MilestoneGraphs_Calc!$H$11</c:f>
              <c:strCache>
                <c:ptCount val="1"/>
                <c:pt idx="0">
                  <c:v>Max</c:v>
                </c:pt>
              </c:strCache>
            </c:strRef>
          </c:tx>
          <c:spPr>
            <a:solidFill>
              <a:srgbClr val="92D050"/>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2-6F9C-43FF-9705-F0F791A35035}"/>
              </c:ext>
            </c:extLst>
          </c:dPt>
          <c:val>
            <c:numRef>
              <c:f>MilestoneGraphs_Calc!$I$11</c:f>
              <c:numCache>
                <c:formatCode>General</c:formatCode>
                <c:ptCount val="1"/>
                <c:pt idx="0">
                  <c:v>1</c:v>
                </c:pt>
              </c:numCache>
            </c:numRef>
          </c:val>
          <c:extLst>
            <c:ext xmlns:c16="http://schemas.microsoft.com/office/drawing/2014/chart" uri="{C3380CC4-5D6E-409C-BE32-E72D297353CC}">
              <c16:uniqueId val="{00000004-4F87-4929-B365-A2EE9F1F3D33}"/>
            </c:ext>
          </c:extLst>
        </c:ser>
        <c:dLbls>
          <c:showLegendKey val="0"/>
          <c:showVal val="0"/>
          <c:showCatName val="0"/>
          <c:showSerName val="0"/>
          <c:showPercent val="0"/>
          <c:showBubbleSize val="0"/>
        </c:dLbls>
        <c:gapWidth val="50"/>
        <c:overlap val="100"/>
        <c:axId val="532608976"/>
        <c:axId val="532599856"/>
      </c:barChart>
      <c:barChart>
        <c:barDir val="col"/>
        <c:grouping val="clustered"/>
        <c:varyColors val="0"/>
        <c:ser>
          <c:idx val="4"/>
          <c:order val="4"/>
          <c:tx>
            <c:strRef>
              <c:f>MilestoneGraphs_Calc!$F$9</c:f>
              <c:strCache>
                <c:ptCount val="1"/>
                <c:pt idx="0">
                  <c:v>Milestone 6: Ongoing Implementation </c:v>
                </c:pt>
              </c:strCache>
            </c:strRef>
          </c:tx>
          <c:spPr>
            <a:solidFill>
              <a:srgbClr val="92D050"/>
            </a:solidFill>
            <a:ln>
              <a:solidFill>
                <a:schemeClr val="tx1"/>
              </a:solidFill>
            </a:ln>
            <a:effectLst/>
          </c:spPr>
          <c:invertIfNegative val="0"/>
          <c:val>
            <c:numRef>
              <c:f>MilestoneGraphs_Calc!$G$9</c:f>
              <c:numCache>
                <c:formatCode>0</c:formatCode>
                <c:ptCount val="1"/>
                <c:pt idx="0">
                  <c:v>0</c:v>
                </c:pt>
              </c:numCache>
            </c:numRef>
          </c:val>
          <c:extLst>
            <c:ext xmlns:c16="http://schemas.microsoft.com/office/drawing/2014/chart" uri="{C3380CC4-5D6E-409C-BE32-E72D297353CC}">
              <c16:uniqueId val="{00000005-4F87-4929-B365-A2EE9F1F3D33}"/>
            </c:ext>
          </c:extLst>
        </c:ser>
        <c:dLbls>
          <c:showLegendKey val="0"/>
          <c:showVal val="0"/>
          <c:showCatName val="0"/>
          <c:showSerName val="0"/>
          <c:showPercent val="0"/>
          <c:showBubbleSize val="0"/>
        </c:dLbls>
        <c:gapWidth val="300"/>
        <c:axId val="240161792"/>
        <c:axId val="240145472"/>
      </c:barChart>
      <c:lineChart>
        <c:grouping val="standard"/>
        <c:varyColors val="0"/>
        <c:ser>
          <c:idx val="3"/>
          <c:order val="3"/>
          <c:tx>
            <c:strRef>
              <c:f>MilestoneGraphs_Calc!$J$9</c:f>
              <c:strCache>
                <c:ptCount val="1"/>
                <c:pt idx="0">
                  <c:v>Target</c:v>
                </c:pt>
              </c:strCache>
            </c:strRef>
          </c:tx>
          <c:spPr>
            <a:ln w="28575" cap="rnd">
              <a:noFill/>
              <a:round/>
            </a:ln>
            <a:effectLst/>
          </c:spPr>
          <c:marker>
            <c:symbol val="dash"/>
            <c:size val="25"/>
            <c:spPr>
              <a:solidFill>
                <a:schemeClr val="tx1"/>
              </a:solidFill>
              <a:ln w="9525">
                <a:noFill/>
              </a:ln>
              <a:effectLst/>
            </c:spPr>
          </c:marker>
          <c:dPt>
            <c:idx val="0"/>
            <c:marker>
              <c:symbol val="dash"/>
              <c:size val="25"/>
              <c:spPr>
                <a:noFill/>
                <a:ln w="9525">
                  <a:noFill/>
                </a:ln>
                <a:effectLst/>
              </c:spPr>
            </c:marker>
            <c:bubble3D val="0"/>
            <c:spPr>
              <a:ln w="28575" cap="rnd">
                <a:noFill/>
                <a:round/>
              </a:ln>
              <a:effectLst/>
            </c:spPr>
            <c:extLst>
              <c:ext xmlns:c16="http://schemas.microsoft.com/office/drawing/2014/chart" uri="{C3380CC4-5D6E-409C-BE32-E72D297353CC}">
                <c16:uniqueId val="{00000006-A614-44DB-9C23-B86789E2F56D}"/>
              </c:ext>
            </c:extLst>
          </c:dPt>
          <c:val>
            <c:numRef>
              <c:f>MilestoneGraphs_Calc!$K$9</c:f>
              <c:numCache>
                <c:formatCode>General</c:formatCode>
                <c:ptCount val="1"/>
                <c:pt idx="0">
                  <c:v>3</c:v>
                </c:pt>
              </c:numCache>
            </c:numRef>
          </c:val>
          <c:smooth val="0"/>
          <c:extLst>
            <c:ext xmlns:c16="http://schemas.microsoft.com/office/drawing/2014/chart" uri="{C3380CC4-5D6E-409C-BE32-E72D297353CC}">
              <c16:uniqueId val="{00000006-4F87-4929-B365-A2EE9F1F3D33}"/>
            </c:ext>
          </c:extLst>
        </c:ser>
        <c:dLbls>
          <c:showLegendKey val="0"/>
          <c:showVal val="0"/>
          <c:showCatName val="0"/>
          <c:showSerName val="0"/>
          <c:showPercent val="0"/>
          <c:showBubbleSize val="0"/>
        </c:dLbls>
        <c:marker val="1"/>
        <c:smooth val="0"/>
        <c:axId val="532608976"/>
        <c:axId val="532599856"/>
      </c:lineChart>
      <c:catAx>
        <c:axId val="532608976"/>
        <c:scaling>
          <c:orientation val="minMax"/>
        </c:scaling>
        <c:delete val="1"/>
        <c:axPos val="b"/>
        <c:numFmt formatCode="General" sourceLinked="1"/>
        <c:majorTickMark val="none"/>
        <c:minorTickMark val="none"/>
        <c:tickLblPos val="nextTo"/>
        <c:crossAx val="532599856"/>
        <c:crosses val="autoZero"/>
        <c:auto val="1"/>
        <c:lblAlgn val="ctr"/>
        <c:lblOffset val="100"/>
        <c:noMultiLvlLbl val="0"/>
      </c:catAx>
      <c:valAx>
        <c:axId val="532599856"/>
        <c:scaling>
          <c:orientation val="minMax"/>
          <c:max val="5"/>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Work Sans" pitchFamily="2" charset="0"/>
                <a:ea typeface="+mn-ea"/>
                <a:cs typeface="+mn-cs"/>
              </a:defRPr>
            </a:pPr>
            <a:endParaRPr lang="en-US"/>
          </a:p>
        </c:txPr>
        <c:crossAx val="532608976"/>
        <c:crosses val="autoZero"/>
        <c:crossBetween val="between"/>
        <c:majorUnit val="1"/>
        <c:minorUnit val="0.5"/>
      </c:valAx>
      <c:valAx>
        <c:axId val="240145472"/>
        <c:scaling>
          <c:orientation val="minMax"/>
        </c:scaling>
        <c:delete val="1"/>
        <c:axPos val="r"/>
        <c:numFmt formatCode="0" sourceLinked="1"/>
        <c:majorTickMark val="out"/>
        <c:minorTickMark val="none"/>
        <c:tickLblPos val="nextTo"/>
        <c:crossAx val="240161792"/>
        <c:crosses val="max"/>
        <c:crossBetween val="between"/>
      </c:valAx>
      <c:catAx>
        <c:axId val="240161792"/>
        <c:scaling>
          <c:orientation val="minMax"/>
        </c:scaling>
        <c:delete val="1"/>
        <c:axPos val="b"/>
        <c:majorTickMark val="out"/>
        <c:minorTickMark val="none"/>
        <c:tickLblPos val="nextTo"/>
        <c:crossAx val="2401454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4469056286443334E-2"/>
          <c:w val="0.91226394687241275"/>
          <c:h val="0.85554694017656097"/>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1-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9C01-40C2-AF91-A00D35F69326}"/>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4-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9C01-40C2-AF91-A00D35F69326}"/>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07-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9C01-40C2-AF91-A00D35F69326}"/>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solidFill>
              <a:ln w="12700" cap="flat" cmpd="sng" algn="ctr">
                <a:solidFill>
                  <a:schemeClr val="tx1"/>
                </a:solidFill>
                <a:round/>
              </a:ln>
              <a:effectLst/>
            </c:spPr>
            <c:extLst>
              <c:ext xmlns:c16="http://schemas.microsoft.com/office/drawing/2014/chart" uri="{C3380CC4-5D6E-409C-BE32-E72D297353CC}">
                <c16:uniqueId val="{0000000A-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9C01-40C2-AF91-A00D35F69326}"/>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0"/>
            <c:marker>
              <c:symbol val="dash"/>
              <c:size val="22"/>
              <c:spPr>
                <a:noFill/>
                <a:ln w="9525" cap="flat" cmpd="sng" algn="ctr">
                  <a:noFill/>
                  <a:round/>
                </a:ln>
                <a:effectLst/>
              </c:spPr>
            </c:marker>
            <c:bubble3D val="0"/>
            <c:extLst>
              <c:ext xmlns:c16="http://schemas.microsoft.com/office/drawing/2014/chart" uri="{C3380CC4-5D6E-409C-BE32-E72D297353CC}">
                <c16:uniqueId val="{0000000C-9C01-40C2-AF91-A00D35F69326}"/>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D-9C01-40C2-AF91-A00D35F69326}"/>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3.7433057996424067E-2"/>
          <c:w val="0.91226394687241275"/>
          <c:h val="0.8625827739426039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8649-43EE-B9AF-C0B3E657DF38}"/>
              </c:ext>
            </c:extLst>
          </c:dPt>
          <c:dPt>
            <c:idx val="1"/>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10-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8649-43EE-B9AF-C0B3E657DF38}"/>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8649-43EE-B9AF-C0B3E657DF38}"/>
              </c:ext>
            </c:extLst>
          </c:dPt>
          <c:dPt>
            <c:idx val="1"/>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F-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8649-43EE-B9AF-C0B3E657DF38}"/>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8649-43EE-B9AF-C0B3E657DF38}"/>
              </c:ext>
            </c:extLst>
          </c:dPt>
          <c:dPt>
            <c:idx val="1"/>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1-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8649-43EE-B9AF-C0B3E657DF38}"/>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8649-43EE-B9AF-C0B3E657DF38}"/>
              </c:ext>
            </c:extLst>
          </c:dPt>
          <c:dPt>
            <c:idx val="1"/>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D-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8649-43EE-B9AF-C0B3E657DF38}"/>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1"/>
            <c:marker>
              <c:symbol val="dash"/>
              <c:size val="22"/>
              <c:spPr>
                <a:noFill/>
                <a:ln w="9525" cap="flat" cmpd="sng" algn="ctr">
                  <a:noFill/>
                  <a:round/>
                </a:ln>
                <a:effectLst/>
              </c:spPr>
            </c:marker>
            <c:bubble3D val="0"/>
            <c:extLst>
              <c:ext xmlns:c16="http://schemas.microsoft.com/office/drawing/2014/chart" uri="{C3380CC4-5D6E-409C-BE32-E72D297353CC}">
                <c16:uniqueId val="{0000000E-8649-43EE-B9AF-C0B3E657DF38}"/>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C-8649-43EE-B9AF-C0B3E657DF38}"/>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ED19-40C0-8A73-E2051B5858B3}"/>
              </c:ext>
            </c:extLst>
          </c:dPt>
          <c:dPt>
            <c:idx val="2"/>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F-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ED19-40C0-8A73-E2051B5858B3}"/>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ED19-40C0-8A73-E2051B5858B3}"/>
              </c:ext>
            </c:extLst>
          </c:dPt>
          <c:dPt>
            <c:idx val="2"/>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10-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ED19-40C0-8A73-E2051B5858B3}"/>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ED19-40C0-8A73-E2051B5858B3}"/>
              </c:ext>
            </c:extLst>
          </c:dPt>
          <c:dPt>
            <c:idx val="2"/>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1-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ED19-40C0-8A73-E2051B5858B3}"/>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ED19-40C0-8A73-E2051B5858B3}"/>
              </c:ext>
            </c:extLst>
          </c:dPt>
          <c:dPt>
            <c:idx val="2"/>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E-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ED19-40C0-8A73-E2051B5858B3}"/>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2"/>
            <c:marker>
              <c:symbol val="dash"/>
              <c:size val="22"/>
              <c:spPr>
                <a:noFill/>
                <a:ln w="9525" cap="flat" cmpd="sng" algn="ctr">
                  <a:noFill/>
                  <a:round/>
                </a:ln>
                <a:effectLst/>
              </c:spPr>
            </c:marker>
            <c:bubble3D val="0"/>
            <c:extLst>
              <c:ext xmlns:c16="http://schemas.microsoft.com/office/drawing/2014/chart" uri="{C3380CC4-5D6E-409C-BE32-E72D297353CC}">
                <c16:uniqueId val="{0000000D-ED19-40C0-8A73-E2051B5858B3}"/>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C-ED19-40C0-8A73-E2051B5858B3}"/>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237A-4920-93EB-8F25DCE409CF}"/>
              </c:ext>
            </c:extLst>
          </c:dPt>
          <c:dPt>
            <c:idx val="3"/>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E-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237A-4920-93EB-8F25DCE409CF}"/>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237A-4920-93EB-8F25DCE409CF}"/>
              </c:ext>
            </c:extLst>
          </c:dPt>
          <c:dPt>
            <c:idx val="3"/>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F-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237A-4920-93EB-8F25DCE409CF}"/>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237A-4920-93EB-8F25DCE409CF}"/>
              </c:ext>
            </c:extLst>
          </c:dPt>
          <c:dPt>
            <c:idx val="3"/>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0-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237A-4920-93EB-8F25DCE409CF}"/>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237A-4920-93EB-8F25DCE409CF}"/>
              </c:ext>
            </c:extLst>
          </c:dPt>
          <c:dPt>
            <c:idx val="3"/>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D-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237A-4920-93EB-8F25DCE409CF}"/>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3"/>
            <c:marker>
              <c:symbol val="dash"/>
              <c:size val="22"/>
              <c:spPr>
                <a:noFill/>
                <a:ln w="9525" cap="flat" cmpd="sng" algn="ctr">
                  <a:noFill/>
                  <a:round/>
                </a:ln>
                <a:effectLst/>
              </c:spPr>
            </c:marker>
            <c:bubble3D val="0"/>
            <c:extLst>
              <c:ext xmlns:c16="http://schemas.microsoft.com/office/drawing/2014/chart" uri="{C3380CC4-5D6E-409C-BE32-E72D297353CC}">
                <c16:uniqueId val="{00000011-237A-4920-93EB-8F25DCE409CF}"/>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C-237A-4920-93EB-8F25DCE409CF}"/>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B971-4DC5-AE3E-81BC548C3B8D}"/>
              </c:ext>
            </c:extLst>
          </c:dPt>
          <c:dPt>
            <c:idx val="4"/>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F-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B971-4DC5-AE3E-81BC548C3B8D}"/>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B971-4DC5-AE3E-81BC548C3B8D}"/>
              </c:ext>
            </c:extLst>
          </c:dPt>
          <c:dPt>
            <c:idx val="4"/>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E-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B971-4DC5-AE3E-81BC548C3B8D}"/>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B971-4DC5-AE3E-81BC548C3B8D}"/>
              </c:ext>
            </c:extLst>
          </c:dPt>
          <c:dPt>
            <c:idx val="4"/>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0D-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B971-4DC5-AE3E-81BC548C3B8D}"/>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B971-4DC5-AE3E-81BC548C3B8D}"/>
              </c:ext>
            </c:extLst>
          </c:dPt>
          <c:dPt>
            <c:idx val="4"/>
            <c:invertIfNegative val="0"/>
            <c:bubble3D val="0"/>
            <c:spPr>
              <a:solidFill>
                <a:srgbClr val="92D050"/>
              </a:solidFill>
              <a:ln w="12700" cap="flat" cmpd="sng" algn="ctr">
                <a:solidFill>
                  <a:schemeClr val="tx1"/>
                </a:solidFill>
                <a:round/>
              </a:ln>
              <a:effectLst/>
            </c:spPr>
            <c:extLst>
              <c:ext xmlns:c16="http://schemas.microsoft.com/office/drawing/2014/chart" uri="{C3380CC4-5D6E-409C-BE32-E72D297353CC}">
                <c16:uniqueId val="{00000010-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B971-4DC5-AE3E-81BC548C3B8D}"/>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4"/>
            <c:marker>
              <c:symbol val="dash"/>
              <c:size val="22"/>
              <c:spPr>
                <a:noFill/>
                <a:ln w="9525" cap="flat" cmpd="sng" algn="ctr">
                  <a:noFill/>
                  <a:round/>
                </a:ln>
                <a:effectLst/>
              </c:spPr>
            </c:marker>
            <c:bubble3D val="0"/>
            <c:extLst>
              <c:ext xmlns:c16="http://schemas.microsoft.com/office/drawing/2014/chart" uri="{C3380CC4-5D6E-409C-BE32-E72D297353CC}">
                <c16:uniqueId val="{00000011-B971-4DC5-AE3E-81BC548C3B8D}"/>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C-B971-4DC5-AE3E-81BC548C3B8D}"/>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cs typeface="Arial" panose="020B0604020202020204" pitchFamily="34" charset="0"/>
              </a:rPr>
              <a:t>Milestone 1</a:t>
            </a:r>
          </a:p>
        </c:rich>
      </c:tx>
      <c:layout>
        <c:manualLayout>
          <c:xMode val="edge"/>
          <c:yMode val="edge"/>
          <c:x val="0.20977416885389324"/>
          <c:y val="2.0797227036395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722222222222217E-2"/>
          <c:y val="0.18779896013864819"/>
          <c:w val="0.81361111111111106"/>
          <c:h val="0.81220103986135184"/>
        </c:manualLayout>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EF65-439B-8971-9BFD8959A361}"/>
              </c:ext>
            </c:extLst>
          </c:dPt>
          <c:dPt>
            <c:idx val="1"/>
            <c:bubble3D val="0"/>
            <c:spPr>
              <a:solidFill>
                <a:schemeClr val="bg1">
                  <a:lumMod val="95000"/>
                  <a:alpha val="50000"/>
                </a:schemeClr>
              </a:solidFill>
              <a:ln w="19050">
                <a:solidFill>
                  <a:schemeClr val="lt1"/>
                </a:solidFill>
              </a:ln>
              <a:effectLst/>
            </c:spPr>
            <c:extLst>
              <c:ext xmlns:c16="http://schemas.microsoft.com/office/drawing/2014/chart" uri="{C3380CC4-5D6E-409C-BE32-E72D297353CC}">
                <c16:uniqueId val="{00000003-EF65-439B-8971-9BFD8959A361}"/>
              </c:ext>
            </c:extLst>
          </c:dPt>
          <c:cat>
            <c:strRef>
              <c:f>MilestoneGraphs_Calc!$F$15:$F$16</c:f>
              <c:strCache>
                <c:ptCount val="2"/>
                <c:pt idx="0">
                  <c:v>Milestone 1: Establish Greenhouse Gas Inventory and Scope of Work </c:v>
                </c:pt>
                <c:pt idx="1">
                  <c:v>M1:Gap</c:v>
                </c:pt>
              </c:strCache>
            </c:strRef>
          </c:cat>
          <c:val>
            <c:numRef>
              <c:f>MilestoneGraphs_Calc!$H$15:$H$16</c:f>
              <c:numCache>
                <c:formatCode>0</c:formatCode>
                <c:ptCount val="2"/>
                <c:pt idx="0">
                  <c:v>0</c:v>
                </c:pt>
                <c:pt idx="1">
                  <c:v>18</c:v>
                </c:pt>
              </c:numCache>
            </c:numRef>
          </c:val>
          <c:extLst>
            <c:ext xmlns:c16="http://schemas.microsoft.com/office/drawing/2014/chart" uri="{C3380CC4-5D6E-409C-BE32-E72D297353CC}">
              <c16:uniqueId val="{00000004-EF65-439B-8971-9BFD8959A36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rPr>
              <a:t>Milestone</a:t>
            </a:r>
            <a:r>
              <a:rPr lang="en-US" sz="1400" baseline="0">
                <a:solidFill>
                  <a:sysClr val="windowText" lastClr="000000"/>
                </a:solidFill>
                <a:latin typeface="Work Sans" pitchFamily="2" charset="0"/>
              </a:rPr>
              <a:t> 2</a:t>
            </a:r>
            <a:endParaRPr lang="en-US" sz="1400">
              <a:solidFill>
                <a:sysClr val="windowText" lastClr="000000"/>
              </a:solidFill>
              <a:latin typeface="Work Sans" pitchFamily="2" charset="0"/>
            </a:endParaRPr>
          </a:p>
        </c:rich>
      </c:tx>
      <c:layout>
        <c:manualLayout>
          <c:xMode val="edge"/>
          <c:yMode val="edge"/>
          <c:x val="0.2518919510061242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3567913385826767E-2"/>
          <c:y val="0.16729166666666667"/>
          <c:w val="0.83270833333333338"/>
          <c:h val="0.83270833333333338"/>
        </c:manualLayout>
      </c:layout>
      <c:doughnut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23FF-4984-AB81-56BF1E3A2827}"/>
              </c:ext>
            </c:extLst>
          </c:dPt>
          <c:dPt>
            <c:idx val="1"/>
            <c:bubble3D val="0"/>
            <c:spPr>
              <a:solidFill>
                <a:schemeClr val="tx2">
                  <a:lumMod val="10000"/>
                  <a:lumOff val="90000"/>
                  <a:alpha val="50000"/>
                </a:schemeClr>
              </a:solidFill>
              <a:ln w="19050">
                <a:solidFill>
                  <a:schemeClr val="lt1"/>
                </a:solidFill>
              </a:ln>
              <a:effectLst/>
            </c:spPr>
            <c:extLst>
              <c:ext xmlns:c16="http://schemas.microsoft.com/office/drawing/2014/chart" uri="{C3380CC4-5D6E-409C-BE32-E72D297353CC}">
                <c16:uniqueId val="{00000003-23FF-4984-AB81-56BF1E3A2827}"/>
              </c:ext>
            </c:extLst>
          </c:dPt>
          <c:cat>
            <c:strRef>
              <c:f>MilestoneGraphs_Calc!$F$17:$F$18</c:f>
              <c:strCache>
                <c:ptCount val="2"/>
                <c:pt idx="0">
                  <c:v>Milestone 2: Categorize Portfolio</c:v>
                </c:pt>
                <c:pt idx="1">
                  <c:v>M2:Gap</c:v>
                </c:pt>
              </c:strCache>
            </c:strRef>
          </c:cat>
          <c:val>
            <c:numRef>
              <c:f>MilestoneGraphs_Calc!$H$17:$H$18</c:f>
              <c:numCache>
                <c:formatCode>0</c:formatCode>
                <c:ptCount val="2"/>
                <c:pt idx="0">
                  <c:v>0</c:v>
                </c:pt>
                <c:pt idx="1">
                  <c:v>15</c:v>
                </c:pt>
              </c:numCache>
            </c:numRef>
          </c:val>
          <c:extLst>
            <c:ext xmlns:c16="http://schemas.microsoft.com/office/drawing/2014/chart" uri="{C3380CC4-5D6E-409C-BE32-E72D297353CC}">
              <c16:uniqueId val="{00000004-23FF-4984-AB81-56BF1E3A282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3</a:t>
            </a:r>
          </a:p>
        </c:rich>
      </c:tx>
      <c:layout>
        <c:manualLayout>
          <c:xMode val="edge"/>
          <c:yMode val="edge"/>
          <c:x val="0.216678123930160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9878260869565227E-2"/>
          <c:y val="0.18118055555555557"/>
          <c:w val="0.82024347826086952"/>
          <c:h val="0.818819444444444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C1-45AC-ACCF-3FFD1310A491}"/>
              </c:ext>
            </c:extLst>
          </c:dPt>
          <c:dPt>
            <c:idx val="1"/>
            <c:bubble3D val="0"/>
            <c:spPr>
              <a:solidFill>
                <a:schemeClr val="accent1">
                  <a:lumMod val="20000"/>
                  <a:lumOff val="80000"/>
                  <a:alpha val="50000"/>
                </a:schemeClr>
              </a:solidFill>
              <a:ln w="19050">
                <a:solidFill>
                  <a:schemeClr val="lt1"/>
                </a:solidFill>
              </a:ln>
              <a:effectLst/>
            </c:spPr>
            <c:extLst>
              <c:ext xmlns:c16="http://schemas.microsoft.com/office/drawing/2014/chart" uri="{C3380CC4-5D6E-409C-BE32-E72D297353CC}">
                <c16:uniqueId val="{00000003-FFC1-45AC-ACCF-3FFD1310A491}"/>
              </c:ext>
            </c:extLst>
          </c:dPt>
          <c:cat>
            <c:strRef>
              <c:f>MilestoneGraphs_Calc!$F$19:$F$20</c:f>
              <c:strCache>
                <c:ptCount val="2"/>
                <c:pt idx="0">
                  <c:v>Milestone 3: Assess Measures</c:v>
                </c:pt>
                <c:pt idx="1">
                  <c:v>M3:Gap</c:v>
                </c:pt>
              </c:strCache>
            </c:strRef>
          </c:cat>
          <c:val>
            <c:numRef>
              <c:f>MilestoneGraphs_Calc!$H$19:$H$20</c:f>
              <c:numCache>
                <c:formatCode>0</c:formatCode>
                <c:ptCount val="2"/>
                <c:pt idx="0">
                  <c:v>0</c:v>
                </c:pt>
                <c:pt idx="1">
                  <c:v>25</c:v>
                </c:pt>
              </c:numCache>
            </c:numRef>
          </c:val>
          <c:extLst>
            <c:ext xmlns:c16="http://schemas.microsoft.com/office/drawing/2014/chart" uri="{C3380CC4-5D6E-409C-BE32-E72D297353CC}">
              <c16:uniqueId val="{00000004-FFC1-45AC-ACCF-3FFD1310A49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r>
              <a:rPr lang="en-US"/>
              <a:t>Milestone 4</a:t>
            </a:r>
          </a:p>
        </c:rich>
      </c:tx>
      <c:layout>
        <c:manualLayout>
          <c:xMode val="edge"/>
          <c:yMode val="edge"/>
          <c:x val="0.17573656845753899"/>
          <c:y val="2.0833333333333332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6498996984129148E-2"/>
          <c:y val="0.18545166229221344"/>
          <c:w val="0.82700146017276432"/>
          <c:h val="0.81454833770778656"/>
        </c:manualLayout>
      </c:layout>
      <c:doughnut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09DE-4503-BB7C-1E327F603B71}"/>
              </c:ext>
            </c:extLst>
          </c:dPt>
          <c:dPt>
            <c:idx val="1"/>
            <c:bubble3D val="0"/>
            <c:spPr>
              <a:solidFill>
                <a:schemeClr val="accent3">
                  <a:lumMod val="20000"/>
                  <a:lumOff val="80000"/>
                  <a:alpha val="50000"/>
                </a:schemeClr>
              </a:solidFill>
              <a:ln w="19050">
                <a:solidFill>
                  <a:schemeClr val="lt1"/>
                </a:solidFill>
              </a:ln>
              <a:effectLst/>
            </c:spPr>
            <c:extLst>
              <c:ext xmlns:c16="http://schemas.microsoft.com/office/drawing/2014/chart" uri="{C3380CC4-5D6E-409C-BE32-E72D297353CC}">
                <c16:uniqueId val="{00000003-09DE-4503-BB7C-1E327F603B71}"/>
              </c:ext>
            </c:extLst>
          </c:dPt>
          <c:cat>
            <c:strRef>
              <c:f>MilestoneGraphs_Calc!$F$21:$F$22</c:f>
              <c:strCache>
                <c:ptCount val="2"/>
                <c:pt idx="0">
                  <c:v>Milestone 4: Develop Scenarios</c:v>
                </c:pt>
                <c:pt idx="1">
                  <c:v>M4:Gap</c:v>
                </c:pt>
              </c:strCache>
            </c:strRef>
          </c:cat>
          <c:val>
            <c:numRef>
              <c:f>MilestoneGraphs_Calc!$H$21:$H$22</c:f>
              <c:numCache>
                <c:formatCode>0</c:formatCode>
                <c:ptCount val="2"/>
                <c:pt idx="0">
                  <c:v>0</c:v>
                </c:pt>
                <c:pt idx="1">
                  <c:v>22</c:v>
                </c:pt>
              </c:numCache>
            </c:numRef>
          </c:val>
          <c:extLst>
            <c:ext xmlns:c16="http://schemas.microsoft.com/office/drawing/2014/chart" uri="{C3380CC4-5D6E-409C-BE32-E72D297353CC}">
              <c16:uniqueId val="{00000004-09DE-4503-BB7C-1E327F603B7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6</a:t>
            </a:r>
          </a:p>
        </c:rich>
      </c:tx>
      <c:layout>
        <c:manualLayout>
          <c:xMode val="edge"/>
          <c:yMode val="edge"/>
          <c:x val="0.21022528433945761"/>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9.0590551181102361E-2"/>
          <c:y val="0.16034722222222222"/>
          <c:w val="0.8396527777777778"/>
          <c:h val="0.8396527777777778"/>
        </c:manualLayout>
      </c:layout>
      <c:doughnut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1-86C9-4107-909F-F45BC49B98A5}"/>
              </c:ext>
            </c:extLst>
          </c:dPt>
          <c:dPt>
            <c:idx val="1"/>
            <c:bubble3D val="0"/>
            <c:spPr>
              <a:solidFill>
                <a:schemeClr val="accent5">
                  <a:lumMod val="20000"/>
                  <a:lumOff val="80000"/>
                  <a:alpha val="50000"/>
                </a:schemeClr>
              </a:solidFill>
              <a:ln w="19050">
                <a:solidFill>
                  <a:schemeClr val="lt1"/>
                </a:solidFill>
              </a:ln>
              <a:effectLst/>
            </c:spPr>
            <c:extLst>
              <c:ext xmlns:c16="http://schemas.microsoft.com/office/drawing/2014/chart" uri="{C3380CC4-5D6E-409C-BE32-E72D297353CC}">
                <c16:uniqueId val="{00000003-86C9-4107-909F-F45BC49B98A5}"/>
              </c:ext>
            </c:extLst>
          </c:dPt>
          <c:cat>
            <c:strRef>
              <c:f>MilestoneGraphs_Calc!$F$25:$F$26</c:f>
              <c:strCache>
                <c:ptCount val="2"/>
                <c:pt idx="0">
                  <c:v>Milestone 6: Ongoing Implementation </c:v>
                </c:pt>
                <c:pt idx="1">
                  <c:v>M6:Gap</c:v>
                </c:pt>
              </c:strCache>
            </c:strRef>
          </c:cat>
          <c:val>
            <c:numRef>
              <c:f>MilestoneGraphs_Calc!$H$25:$H$26</c:f>
              <c:numCache>
                <c:formatCode>0</c:formatCode>
                <c:ptCount val="2"/>
                <c:pt idx="0">
                  <c:v>0</c:v>
                </c:pt>
                <c:pt idx="1">
                  <c:v>5</c:v>
                </c:pt>
              </c:numCache>
            </c:numRef>
          </c:val>
          <c:extLst>
            <c:ext xmlns:c16="http://schemas.microsoft.com/office/drawing/2014/chart" uri="{C3380CC4-5D6E-409C-BE32-E72D297353CC}">
              <c16:uniqueId val="{00000004-86C9-4107-909F-F45BC49B98A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r>
              <a:rPr lang="en-US"/>
              <a:t>Milestone 5</a:t>
            </a:r>
          </a:p>
        </c:rich>
      </c:tx>
      <c:layout>
        <c:manualLayout>
          <c:xMode val="edge"/>
          <c:yMode val="edge"/>
          <c:x val="0.15359197287839021"/>
          <c:y val="2.5613517060367449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447178477690292E-2"/>
          <c:y val="0.18441627526934445"/>
          <c:w val="0.81459357670537635"/>
          <c:h val="0.81558372473065566"/>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6EE-45C3-8F3E-500E44D0EB27}"/>
              </c:ext>
            </c:extLst>
          </c:dPt>
          <c:dPt>
            <c:idx val="1"/>
            <c:bubble3D val="0"/>
            <c:spPr>
              <a:solidFill>
                <a:schemeClr val="accent2">
                  <a:lumMod val="20000"/>
                  <a:lumOff val="80000"/>
                  <a:alpha val="50000"/>
                </a:schemeClr>
              </a:solidFill>
              <a:ln w="19050">
                <a:solidFill>
                  <a:schemeClr val="lt1"/>
                </a:solidFill>
              </a:ln>
              <a:effectLst/>
            </c:spPr>
            <c:extLst>
              <c:ext xmlns:c16="http://schemas.microsoft.com/office/drawing/2014/chart" uri="{C3380CC4-5D6E-409C-BE32-E72D297353CC}">
                <c16:uniqueId val="{00000003-56EE-45C3-8F3E-500E44D0EB27}"/>
              </c:ext>
            </c:extLst>
          </c:dPt>
          <c:cat>
            <c:strRef>
              <c:f>(MilestoneGraphs_Calc!$F$23,MilestoneGraphs_Calc!$F$24)</c:f>
              <c:strCache>
                <c:ptCount val="2"/>
                <c:pt idx="0">
                  <c:v>Milestone 5: Define Emissions Reduction Plan</c:v>
                </c:pt>
                <c:pt idx="1">
                  <c:v>M5:Gap</c:v>
                </c:pt>
              </c:strCache>
            </c:strRef>
          </c:cat>
          <c:val>
            <c:numRef>
              <c:f>(MilestoneGraphs_Calc!$H$23,MilestoneGraphs_Calc!$H$24)</c:f>
              <c:numCache>
                <c:formatCode>0</c:formatCode>
                <c:ptCount val="2"/>
                <c:pt idx="0">
                  <c:v>0</c:v>
                </c:pt>
                <c:pt idx="1">
                  <c:v>15</c:v>
                </c:pt>
              </c:numCache>
            </c:numRef>
          </c:val>
          <c:extLst>
            <c:ext xmlns:c16="http://schemas.microsoft.com/office/drawing/2014/chart" uri="{C3380CC4-5D6E-409C-BE32-E72D297353CC}">
              <c16:uniqueId val="{00000004-56EE-45C3-8F3E-500E44D0EB2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r>
              <a:rPr lang="en-US" sz="3000"/>
              <a:t>ERP Score</a:t>
            </a:r>
          </a:p>
        </c:rich>
      </c:tx>
      <c:layout>
        <c:manualLayout>
          <c:xMode val="edge"/>
          <c:yMode val="edge"/>
          <c:x val="0.25180555555555556"/>
          <c:y val="0"/>
        </c:manualLayout>
      </c:layout>
      <c:overlay val="0"/>
      <c:spPr>
        <a:noFill/>
        <a:ln>
          <a:noFill/>
        </a:ln>
        <a:effectLst/>
      </c:spPr>
      <c:txPr>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6.8290955818022747E-2"/>
          <c:y val="0.11923185664237765"/>
          <c:w val="0.8807794728783902"/>
          <c:h val="0.88001557047346535"/>
        </c:manualLayout>
      </c:layout>
      <c:doughnutChart>
        <c:varyColors val="1"/>
        <c:ser>
          <c:idx val="0"/>
          <c:order val="0"/>
          <c:spPr>
            <a:solidFill>
              <a:srgbClr val="92D050"/>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EAD2-4C7B-B224-E25AE7D3C84D}"/>
              </c:ext>
            </c:extLst>
          </c:dPt>
          <c:dPt>
            <c:idx val="1"/>
            <c:bubble3D val="0"/>
            <c:spPr>
              <a:solidFill>
                <a:srgbClr val="92D050">
                  <a:alpha val="20000"/>
                </a:srgbClr>
              </a:solidFill>
              <a:ln w="19050">
                <a:solidFill>
                  <a:schemeClr val="lt1"/>
                </a:solidFill>
              </a:ln>
              <a:effectLst/>
            </c:spPr>
            <c:extLst>
              <c:ext xmlns:c16="http://schemas.microsoft.com/office/drawing/2014/chart" uri="{C3380CC4-5D6E-409C-BE32-E72D297353CC}">
                <c16:uniqueId val="{00000003-EAD2-4C7B-B224-E25AE7D3C84D}"/>
              </c:ext>
            </c:extLst>
          </c:dPt>
          <c:cat>
            <c:strRef>
              <c:f>MilestoneGraphs_Calc!$F$27:$F$28</c:f>
              <c:strCache>
                <c:ptCount val="2"/>
                <c:pt idx="0">
                  <c:v>ERP total</c:v>
                </c:pt>
                <c:pt idx="1">
                  <c:v>Gap total</c:v>
                </c:pt>
              </c:strCache>
            </c:strRef>
          </c:cat>
          <c:val>
            <c:numRef>
              <c:f>MilestoneGraphs_Calc!$H$27:$H$28</c:f>
              <c:numCache>
                <c:formatCode>0</c:formatCode>
                <c:ptCount val="2"/>
                <c:pt idx="0">
                  <c:v>0</c:v>
                </c:pt>
                <c:pt idx="1">
                  <c:v>100</c:v>
                </c:pt>
              </c:numCache>
            </c:numRef>
          </c:val>
          <c:extLst>
            <c:ext xmlns:c16="http://schemas.microsoft.com/office/drawing/2014/chart" uri="{C3380CC4-5D6E-409C-BE32-E72D297353CC}">
              <c16:uniqueId val="{00000004-EAD2-4C7B-B224-E25AE7D3C8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TechnologyPhasingCurve!$B$2</c:f>
          <c:strCache>
            <c:ptCount val="1"/>
            <c:pt idx="0">
              <c:v>Project Phasing timeline for 0% reduction of emission from baseline</c:v>
            </c:pt>
          </c:strCache>
        </c:strRef>
      </c:tx>
      <c:layout>
        <c:manualLayout>
          <c:xMode val="edge"/>
          <c:yMode val="edge"/>
          <c:x val="0.12450864708064301"/>
          <c:y val="0"/>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Work Sans" pitchFamily="2" charset="0"/>
              <a:ea typeface="+mj-ea"/>
              <a:cs typeface="+mj-cs"/>
            </a:defRPr>
          </a:pPr>
          <a:endParaRPr lang="en-US"/>
        </a:p>
      </c:txPr>
    </c:title>
    <c:autoTitleDeleted val="0"/>
    <c:plotArea>
      <c:layout>
        <c:manualLayout>
          <c:layoutTarget val="inner"/>
          <c:xMode val="edge"/>
          <c:yMode val="edge"/>
          <c:x val="9.5752141898468493E-2"/>
          <c:y val="0.31891859255054705"/>
          <c:w val="0.89489025683466039"/>
          <c:h val="0.54111638440512622"/>
        </c:manualLayout>
      </c:layout>
      <c:areaChart>
        <c:grouping val="percentStacked"/>
        <c:varyColors val="0"/>
        <c:ser>
          <c:idx val="7"/>
          <c:order val="1"/>
          <c:tx>
            <c:strRef>
              <c:f>TechnologyPhasingCurve!$B$20</c:f>
              <c:strCache>
                <c:ptCount val="1"/>
                <c:pt idx="0">
                  <c:v>Baseline</c:v>
                </c:pt>
              </c:strCache>
            </c:strRef>
          </c:tx>
          <c:spPr>
            <a:solidFill>
              <a:srgbClr val="FFC000"/>
            </a:soli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TechnologyPhasingCurve!Scope_Baseline</c:f>
              <c:numCache>
                <c:formatCode>0.00</c:formatCode>
                <c:ptCount val="39"/>
                <c:pt idx="0" formatCode="General">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numCache>
            </c:numRef>
          </c:val>
          <c:extLst>
            <c:ext xmlns:c16="http://schemas.microsoft.com/office/drawing/2014/chart" uri="{C3380CC4-5D6E-409C-BE32-E72D297353CC}">
              <c16:uniqueId val="{00000000-66B8-4B4C-9BAA-AC0B9A0E551D}"/>
            </c:ext>
          </c:extLst>
        </c:ser>
        <c:ser>
          <c:idx val="2"/>
          <c:order val="2"/>
          <c:tx>
            <c:strRef>
              <c:f>TechnologyPhasingCurve!$B$24</c:f>
              <c:strCache>
                <c:ptCount val="1"/>
                <c:pt idx="0">
                  <c:v>Renewable energy procurement</c:v>
                </c:pt>
              </c:strCache>
            </c:strRef>
          </c:tx>
          <c:spPr>
            <a:gradFill>
              <a:gsLst>
                <a:gs pos="100000">
                  <a:schemeClr val="accent3"/>
                </a:gs>
                <a:gs pos="0">
                  <a:schemeClr val="accent3">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[0]!RE_Production</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3-66B8-4B4C-9BAA-AC0B9A0E551D}"/>
            </c:ext>
          </c:extLst>
        </c:ser>
        <c:ser>
          <c:idx val="0"/>
          <c:order val="3"/>
          <c:tx>
            <c:strRef>
              <c:f>TechnologyPhasingCurve!$B$21</c:f>
              <c:strCache>
                <c:ptCount val="1"/>
                <c:pt idx="0">
                  <c:v>Energy efficiency</c:v>
                </c:pt>
              </c:strCache>
            </c:strRef>
          </c:tx>
          <c:spPr>
            <a:gradFill>
              <a:gsLst>
                <a:gs pos="100000">
                  <a:schemeClr val="accent1"/>
                </a:gs>
                <a:gs pos="0">
                  <a:schemeClr val="accent1">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[0]!Energy_Efficiency</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66B8-4B4C-9BAA-AC0B9A0E551D}"/>
            </c:ext>
          </c:extLst>
        </c:ser>
        <c:ser>
          <c:idx val="1"/>
          <c:order val="4"/>
          <c:tx>
            <c:strRef>
              <c:f>TechnologyPhasingCurve!$B$22</c:f>
              <c:strCache>
                <c:ptCount val="1"/>
                <c:pt idx="0">
                  <c:v>Electrification technology</c:v>
                </c:pt>
              </c:strCache>
            </c:strRef>
          </c:tx>
          <c:spPr>
            <a:gradFill>
              <a:gsLst>
                <a:gs pos="100000">
                  <a:schemeClr val="accent2"/>
                </a:gs>
                <a:gs pos="0">
                  <a:schemeClr val="accent2">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[0]!Electrification_Tech</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66B8-4B4C-9BAA-AC0B9A0E551D}"/>
            </c:ext>
          </c:extLst>
        </c:ser>
        <c:ser>
          <c:idx val="3"/>
          <c:order val="5"/>
          <c:tx>
            <c:strRef>
              <c:f>TechnologyPhasingCurve!$B$25</c:f>
              <c:strCache>
                <c:ptCount val="1"/>
                <c:pt idx="0">
                  <c:v>Low carbon fuels (e.g. biofuels and H2)</c:v>
                </c:pt>
              </c:strCache>
            </c:strRef>
          </c:tx>
          <c:spPr>
            <a:gradFill>
              <a:gsLst>
                <a:gs pos="100000">
                  <a:schemeClr val="accent4"/>
                </a:gs>
                <a:gs pos="0">
                  <a:schemeClr val="accent4">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[0]!Low_Carbon_Fuels</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4-66B8-4B4C-9BAA-AC0B9A0E551D}"/>
            </c:ext>
          </c:extLst>
        </c:ser>
        <c:ser>
          <c:idx val="4"/>
          <c:order val="6"/>
          <c:tx>
            <c:strRef>
              <c:f>TechnologyPhasingCurve!$B$26</c:f>
              <c:strCache>
                <c:ptCount val="1"/>
                <c:pt idx="0">
                  <c:v>Fugitive, Mobile and process emission reduction</c:v>
                </c:pt>
              </c:strCache>
            </c:strRef>
          </c:tx>
          <c:spPr>
            <a:gradFill>
              <a:gsLst>
                <a:gs pos="100000">
                  <a:schemeClr val="accent5"/>
                </a:gs>
                <a:gs pos="0">
                  <a:schemeClr val="accent5">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[0]!Fugitive_Emissions</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5-66B8-4B4C-9BAA-AC0B9A0E551D}"/>
            </c:ext>
          </c:extLst>
        </c:ser>
        <c:ser>
          <c:idx val="5"/>
          <c:order val="7"/>
          <c:tx>
            <c:strRef>
              <c:f>TechnologyPhasingCurve!$B$27</c:f>
              <c:strCache>
                <c:ptCount val="1"/>
                <c:pt idx="0">
                  <c:v>Energy storage, grid resiliency and interactivity </c:v>
                </c:pt>
              </c:strCache>
            </c:strRef>
          </c:tx>
          <c:spPr>
            <a:gradFill>
              <a:gsLst>
                <a:gs pos="100000">
                  <a:schemeClr val="accent6"/>
                </a:gs>
                <a:gs pos="0">
                  <a:schemeClr val="accent6">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[0]!Grid_Resiliency</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6-66B8-4B4C-9BAA-AC0B9A0E551D}"/>
            </c:ext>
          </c:extLst>
        </c:ser>
        <c:ser>
          <c:idx val="6"/>
          <c:order val="8"/>
          <c:tx>
            <c:strRef>
              <c:f>TechnologyPhasingCurve!$B$28</c:f>
              <c:strCache>
                <c:ptCount val="1"/>
                <c:pt idx="0">
                  <c:v>Carbon capture utilization &amp; storage</c:v>
                </c:pt>
              </c:strCache>
            </c:strRef>
          </c:tx>
          <c:spPr>
            <a:gradFill>
              <a:gsLst>
                <a:gs pos="100000">
                  <a:schemeClr val="accent1">
                    <a:lumMod val="60000"/>
                  </a:schemeClr>
                </a:gs>
                <a:gs pos="0">
                  <a:schemeClr val="accent1">
                    <a:lumMod val="60000"/>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[0]!CCUS</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7-66B8-4B4C-9BAA-AC0B9A0E551D}"/>
            </c:ext>
          </c:extLst>
        </c:ser>
        <c:ser>
          <c:idx val="9"/>
          <c:order val="9"/>
          <c:tx>
            <c:strRef>
              <c:f>TechnologyPhasingCurve!$B$23</c:f>
              <c:strCache>
                <c:ptCount val="1"/>
                <c:pt idx="0">
                  <c:v>On-site Renewable energy production</c:v>
                </c:pt>
              </c:strCache>
            </c:strRef>
          </c:tx>
          <c:spPr>
            <a:gradFill>
              <a:gsLst>
                <a:gs pos="100000">
                  <a:schemeClr val="accent4">
                    <a:lumMod val="60000"/>
                  </a:schemeClr>
                </a:gs>
                <a:gs pos="0">
                  <a:schemeClr val="accent4">
                    <a:lumMod val="60000"/>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extLst xmlns:c15="http://schemas.microsoft.com/office/drawing/2012/chart"/>
            </c:numRef>
          </c:cat>
          <c:val>
            <c:numRef>
              <c:f>TechnologyPhasingCurve!Scope_Onsite_RE_Gen</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8-66B8-4B4C-9BAA-AC0B9A0E551D}"/>
            </c:ext>
          </c:extLst>
        </c:ser>
        <c:ser>
          <c:idx val="10"/>
          <c:order val="10"/>
          <c:tx>
            <c:strRef>
              <c:f>TechnologyPhasingCurve!$B$29</c:f>
              <c:strCache>
                <c:ptCount val="1"/>
                <c:pt idx="0">
                  <c:v>Other notable pathways (please specify)</c:v>
                </c:pt>
              </c:strCache>
            </c:strRef>
          </c:tx>
          <c:spPr>
            <a:solidFill>
              <a:srgbClr val="FF0000"/>
            </a:solidFill>
            <a:ln>
              <a:noFill/>
            </a:ln>
            <a:effectLst>
              <a:innerShdw dist="12700" dir="16200000">
                <a:schemeClr val="lt1">
                  <a:alpha val="75000"/>
                </a:schemeClr>
              </a:innerShdw>
            </a:effectLst>
          </c:spP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numRef>
          </c:cat>
          <c:val>
            <c:numRef>
              <c:f>TechnologyPhasingCurve!Scope_Other_Pathways</c:f>
              <c:numCache>
                <c:formatCode>0.00</c:formatCode>
                <c:ptCount val="3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D64-4B7D-9AA4-DBE4A065BA32}"/>
            </c:ext>
          </c:extLst>
        </c:ser>
        <c:dLbls>
          <c:showLegendKey val="0"/>
          <c:showVal val="0"/>
          <c:showCatName val="0"/>
          <c:showSerName val="0"/>
          <c:showPercent val="0"/>
          <c:showBubbleSize val="0"/>
        </c:dLbls>
        <c:dropLines>
          <c:spPr>
            <a:ln w="12700" cap="flat" cmpd="sng" algn="ctr">
              <a:solidFill>
                <a:schemeClr val="bg1">
                  <a:alpha val="70000"/>
                </a:schemeClr>
              </a:solidFill>
              <a:round/>
            </a:ln>
            <a:effectLst/>
          </c:spPr>
        </c:dropLines>
        <c:axId val="1649851535"/>
        <c:axId val="1649857295"/>
      </c:areaChart>
      <c:lineChart>
        <c:grouping val="standard"/>
        <c:varyColors val="0"/>
        <c:ser>
          <c:idx val="8"/>
          <c:order val="0"/>
          <c:tx>
            <c:strRef>
              <c:f>TechnologyPhasingCurve!$B$30</c:f>
              <c:strCache>
                <c:ptCount val="1"/>
                <c:pt idx="0">
                  <c:v>Target: 0% Emissions Reduction from Baseline</c:v>
                </c:pt>
              </c:strCache>
            </c:strRef>
          </c:tx>
          <c:spPr>
            <a:ln w="25400" cap="rnd">
              <a:solidFill>
                <a:schemeClr val="accent3">
                  <a:lumMod val="60000"/>
                </a:schemeClr>
              </a:solidFill>
              <a:prstDash val="dash"/>
              <a:round/>
            </a:ln>
            <a:effectLst/>
          </c:spPr>
          <c:marker>
            <c:symbol val="none"/>
          </c:marker>
          <c:cat>
            <c:numRef>
              <c:f>[0]!ChartXAxis</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numRef>
          </c:cat>
          <c:val>
            <c:numRef>
              <c:f>TechnologyPhasingCurve!Scope_Emission_Reduction_Goal</c:f>
              <c:numCache>
                <c:formatCode>0.00</c:formatCode>
                <c:ptCount val="39"/>
                <c:pt idx="0" formatCode="General">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numCache>
            </c:numRef>
          </c:val>
          <c:smooth val="0"/>
          <c:extLst>
            <c:ext xmlns:c16="http://schemas.microsoft.com/office/drawing/2014/chart" uri="{C3380CC4-5D6E-409C-BE32-E72D297353CC}">
              <c16:uniqueId val="{00000009-66B8-4B4C-9BAA-AC0B9A0E551D}"/>
            </c:ext>
          </c:extLst>
        </c:ser>
        <c:dLbls>
          <c:showLegendKey val="0"/>
          <c:showVal val="0"/>
          <c:showCatName val="0"/>
          <c:showSerName val="0"/>
          <c:showPercent val="0"/>
          <c:showBubbleSize val="0"/>
        </c:dLbls>
        <c:dropLines>
          <c:spPr>
            <a:ln w="12700" cap="flat" cmpd="sng" algn="ctr">
              <a:solidFill>
                <a:schemeClr val="bg1">
                  <a:alpha val="40000"/>
                </a:schemeClr>
              </a:solidFill>
              <a:round/>
            </a:ln>
            <a:effectLst/>
          </c:spPr>
        </c:dropLines>
        <c:marker val="1"/>
        <c:smooth val="0"/>
        <c:axId val="1146861072"/>
        <c:axId val="1146855792"/>
      </c:lineChart>
      <c:catAx>
        <c:axId val="1649851535"/>
        <c:scaling>
          <c:orientation val="minMax"/>
        </c:scaling>
        <c:delete val="0"/>
        <c:axPos val="b"/>
        <c:numFmt formatCode="General" sourceLinked="1"/>
        <c:majorTickMark val="in"/>
        <c:minorTickMark val="none"/>
        <c:tickLblPos val="nextTo"/>
        <c:spPr>
          <a:noFill/>
          <a:ln w="12700" cap="flat" cmpd="sng" algn="ctr">
            <a:solidFill>
              <a:schemeClr val="tx1"/>
            </a:solidFill>
            <a:round/>
            <a:headEnd type="none" w="sm" len="sm"/>
            <a:tailEnd type="none" w="sm" len="sm"/>
          </a:ln>
          <a:effectLst/>
        </c:spPr>
        <c:txPr>
          <a:bodyPr rot="-3600000" spcFirstLastPara="1" vertOverflow="ellipsis" wrap="square" anchor="ctr" anchorCtr="1"/>
          <a:lstStyle/>
          <a:p>
            <a:pPr>
              <a:defRPr sz="2000" b="0" i="0" u="none" strike="noStrike" kern="1200" cap="all" baseline="0">
                <a:solidFill>
                  <a:sysClr val="windowText" lastClr="000000"/>
                </a:solidFill>
                <a:latin typeface="Work Sans" pitchFamily="2" charset="0"/>
                <a:ea typeface="+mn-ea"/>
                <a:cs typeface="+mn-cs"/>
              </a:defRPr>
            </a:pPr>
            <a:endParaRPr lang="en-US"/>
          </a:p>
        </c:txPr>
        <c:crossAx val="1649857295"/>
        <c:crosses val="autoZero"/>
        <c:auto val="1"/>
        <c:lblAlgn val="ctr"/>
        <c:lblOffset val="100"/>
        <c:noMultiLvlLbl val="0"/>
      </c:catAx>
      <c:valAx>
        <c:axId val="1649857295"/>
        <c:scaling>
          <c:orientation val="minMax"/>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Work Sans" pitchFamily="2" charset="0"/>
                <a:ea typeface="+mn-ea"/>
                <a:cs typeface="+mn-cs"/>
              </a:defRPr>
            </a:pPr>
            <a:endParaRPr lang="en-US"/>
          </a:p>
        </c:txPr>
        <c:crossAx val="1649851535"/>
        <c:crosses val="autoZero"/>
        <c:crossBetween val="between"/>
        <c:minorUnit val="5.000000000000001E-2"/>
      </c:valAx>
      <c:valAx>
        <c:axId val="1146855792"/>
        <c:scaling>
          <c:orientation val="minMax"/>
        </c:scaling>
        <c:delete val="1"/>
        <c:axPos val="r"/>
        <c:numFmt formatCode="General" sourceLinked="1"/>
        <c:majorTickMark val="in"/>
        <c:minorTickMark val="in"/>
        <c:tickLblPos val="nextTo"/>
        <c:crossAx val="1146861072"/>
        <c:crosses val="max"/>
        <c:crossBetween val="between"/>
        <c:minorUnit val="5.000000000000001E-2"/>
      </c:valAx>
      <c:catAx>
        <c:axId val="1146861072"/>
        <c:scaling>
          <c:orientation val="minMax"/>
        </c:scaling>
        <c:delete val="1"/>
        <c:axPos val="b"/>
        <c:numFmt formatCode="General" sourceLinked="1"/>
        <c:majorTickMark val="out"/>
        <c:minorTickMark val="none"/>
        <c:tickLblPos val="nextTo"/>
        <c:crossAx val="1146855792"/>
        <c:crosses val="autoZero"/>
        <c:auto val="1"/>
        <c:lblAlgn val="ctr"/>
        <c:lblOffset val="100"/>
        <c:noMultiLvlLbl val="0"/>
      </c:catAx>
      <c:spPr>
        <a:noFill/>
        <a:ln w="12700">
          <a:solidFill>
            <a:schemeClr val="tx1"/>
          </a:solidFill>
        </a:ln>
        <a:effectLst/>
      </c:spPr>
    </c:plotArea>
    <c:legend>
      <c:legendPos val="r"/>
      <c:layout>
        <c:manualLayout>
          <c:xMode val="edge"/>
          <c:yMode val="edge"/>
          <c:x val="0"/>
          <c:y val="8.9660808465236774E-2"/>
          <c:w val="1"/>
          <c:h val="0.2026563698544201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Work Sans" pitchFamily="2" charset="0"/>
              <a:ea typeface="+mn-ea"/>
              <a:cs typeface="+mn-cs"/>
            </a:defRPr>
          </a:pPr>
          <a:endParaRPr lang="en-US"/>
        </a:p>
      </c:txPr>
    </c:legend>
    <c:plotVisOnly val="1"/>
    <c:dispBlanksAs val="zero"/>
    <c:showDLblsOverMax val="0"/>
  </c:chart>
  <c:spPr>
    <a:solidFill>
      <a:schemeClr val="bg1"/>
    </a:solidFill>
    <a:ln w="9525" cap="flat" cmpd="sng" algn="ctr">
      <a:solidFill>
        <a:sysClr val="windowText" lastClr="000000"/>
      </a:solidFill>
      <a:round/>
    </a:ln>
    <a:effectLst/>
  </c:spPr>
  <c:txPr>
    <a:bodyPr/>
    <a:lstStyle/>
    <a:p>
      <a:pPr>
        <a:defRPr sz="20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6</c:v>
                </c:pt>
                <c:pt idx="1">
                  <c:v>5</c:v>
                </c:pt>
                <c:pt idx="2">
                  <c:v>10</c:v>
                </c:pt>
                <c:pt idx="3">
                  <c:v>10</c:v>
                </c:pt>
                <c:pt idx="4">
                  <c:v>5</c:v>
                </c:pt>
              </c:numCache>
            </c:numRef>
          </c:val>
          <c:extLst>
            <c:ext xmlns:c16="http://schemas.microsoft.com/office/drawing/2014/chart" uri="{C3380CC4-5D6E-409C-BE32-E72D297353CC}">
              <c16:uniqueId val="{00000002-6103-4A54-AAFE-52F762A42AD2}"/>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6</c:v>
                </c:pt>
                <c:pt idx="1">
                  <c:v>5</c:v>
                </c:pt>
                <c:pt idx="2">
                  <c:v>8</c:v>
                </c:pt>
                <c:pt idx="3">
                  <c:v>6</c:v>
                </c:pt>
                <c:pt idx="4">
                  <c:v>5</c:v>
                </c:pt>
              </c:numCache>
            </c:numRef>
          </c:val>
          <c:extLst>
            <c:ext xmlns:c16="http://schemas.microsoft.com/office/drawing/2014/chart" uri="{C3380CC4-5D6E-409C-BE32-E72D297353CC}">
              <c16:uniqueId val="{00000005-6103-4A54-AAFE-52F762A42AD2}"/>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6</c:v>
                </c:pt>
                <c:pt idx="1">
                  <c:v>5</c:v>
                </c:pt>
                <c:pt idx="2">
                  <c:v>7</c:v>
                </c:pt>
                <c:pt idx="3">
                  <c:v>6</c:v>
                </c:pt>
                <c:pt idx="4">
                  <c:v>5</c:v>
                </c:pt>
              </c:numCache>
            </c:numRef>
          </c:val>
          <c:extLst>
            <c:ext xmlns:c16="http://schemas.microsoft.com/office/drawing/2014/chart" uri="{C3380CC4-5D6E-409C-BE32-E72D297353CC}">
              <c16:uniqueId val="{00000008-6103-4A54-AAFE-52F762A42AD2}"/>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6103-4A54-AAFE-52F762A42AD2}"/>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solidFill>
                <a:schemeClr val="tx1">
                  <a:alpha val="20000"/>
                </a:schemeClr>
              </a:solidFill>
              <a:ln w="9525" cap="flat" cmpd="sng" algn="ctr">
                <a:noFill/>
                <a:round/>
              </a:ln>
              <a:effectLst/>
            </c:spPr>
          </c:marker>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10</c:v>
                </c:pt>
                <c:pt idx="1">
                  <c:v>7</c:v>
                </c:pt>
                <c:pt idx="2">
                  <c:v>12</c:v>
                </c:pt>
                <c:pt idx="3">
                  <c:v>12</c:v>
                </c:pt>
                <c:pt idx="4">
                  <c:v>7</c:v>
                </c:pt>
              </c:numCache>
            </c:numRef>
          </c:yVal>
          <c:smooth val="0"/>
          <c:extLst>
            <c:ext xmlns:c16="http://schemas.microsoft.com/office/drawing/2014/chart" uri="{C3380CC4-5D6E-409C-BE32-E72D297353CC}">
              <c16:uniqueId val="{0000000C-6103-4A54-AAFE-52F762A42AD2}"/>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r>
              <a:rPr lang="en-US"/>
              <a:t>Milestone 5</a:t>
            </a:r>
          </a:p>
        </c:rich>
      </c:tx>
      <c:layout>
        <c:manualLayout>
          <c:xMode val="edge"/>
          <c:yMode val="edge"/>
          <c:x val="0.15359197287839021"/>
          <c:y val="2.5613517060367449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447178477690292E-2"/>
          <c:y val="0.18441627526934445"/>
          <c:w val="0.81459357670537635"/>
          <c:h val="0.81558372473065566"/>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2-37EC-4F38-997F-B27E7E574079}"/>
              </c:ext>
            </c:extLst>
          </c:dPt>
          <c:dPt>
            <c:idx val="1"/>
            <c:bubble3D val="0"/>
            <c:spPr>
              <a:solidFill>
                <a:schemeClr val="accent2">
                  <a:lumMod val="20000"/>
                  <a:lumOff val="80000"/>
                  <a:alpha val="50000"/>
                </a:schemeClr>
              </a:solidFill>
              <a:ln w="19050">
                <a:solidFill>
                  <a:schemeClr val="lt1"/>
                </a:solidFill>
              </a:ln>
              <a:effectLst/>
            </c:spPr>
            <c:extLst>
              <c:ext xmlns:c16="http://schemas.microsoft.com/office/drawing/2014/chart" uri="{C3380CC4-5D6E-409C-BE32-E72D297353CC}">
                <c16:uniqueId val="{00000001-37EC-4F38-997F-B27E7E574079}"/>
              </c:ext>
            </c:extLst>
          </c:dPt>
          <c:dLbls>
            <c:dLbl>
              <c:idx val="0"/>
              <c:layout>
                <c:manualLayout>
                  <c:x val="-0.11805639446058486"/>
                  <c:y val="0.27778300735436567"/>
                </c:manualLayout>
              </c:layout>
              <c:tx>
                <c:rich>
                  <a:bodyPr/>
                  <a:lstStyle/>
                  <a:p>
                    <a:fld id="{177EB046-1680-4E57-B6CF-3729370EEBF9}" type="VALUE">
                      <a:rPr lang="en-US"/>
                      <a:pPr/>
                      <a:t>[VALUE]</a:t>
                    </a:fld>
                    <a:r>
                      <a:rPr lang="en-US"/>
                      <a:t>/15</a:t>
                    </a:r>
                  </a:p>
                </c:rich>
              </c:tx>
              <c:showLegendKey val="0"/>
              <c:showVal val="1"/>
              <c:showCatName val="0"/>
              <c:showSerName val="0"/>
              <c:showPercent val="0"/>
              <c:showBubbleSize val="0"/>
              <c:extLst>
                <c:ext xmlns:c15="http://schemas.microsoft.com/office/drawing/2012/chart" uri="{CE6537A1-D6FC-4f65-9D91-7224C49458BB}">
                  <c15:layout>
                    <c:manualLayout>
                      <c:w val="0.46976252230880017"/>
                      <c:h val="0.26710719160426749"/>
                    </c:manualLayout>
                  </c15:layout>
                  <c15:dlblFieldTable/>
                  <c15:showDataLabelsRange val="0"/>
                </c:ext>
                <c:ext xmlns:c16="http://schemas.microsoft.com/office/drawing/2014/chart" uri="{C3380CC4-5D6E-409C-BE32-E72D297353CC}">
                  <c16:uniqueId val="{00000002-37EC-4F38-997F-B27E7E574079}"/>
                </c:ext>
              </c:extLst>
            </c:dLbl>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(MilestoneGraphs_Calc!$F$23,MilestoneGraphs_Calc!$F$24)</c:f>
              <c:strCache>
                <c:ptCount val="2"/>
                <c:pt idx="0">
                  <c:v>Milestone 5: Define Emissions Reduction Plan</c:v>
                </c:pt>
                <c:pt idx="1">
                  <c:v>M5:Gap</c:v>
                </c:pt>
              </c:strCache>
            </c:strRef>
          </c:cat>
          <c:val>
            <c:numRef>
              <c:f>(MilestoneGraphs_Calc!$H$23,MilestoneGraphs_Calc!$H$24)</c:f>
              <c:numCache>
                <c:formatCode>0</c:formatCode>
                <c:ptCount val="2"/>
                <c:pt idx="0">
                  <c:v>0</c:v>
                </c:pt>
                <c:pt idx="1">
                  <c:v>15</c:v>
                </c:pt>
              </c:numCache>
            </c:numRef>
          </c:val>
          <c:extLst>
            <c:ext xmlns:c16="http://schemas.microsoft.com/office/drawing/2014/chart" uri="{C3380CC4-5D6E-409C-BE32-E72D297353CC}">
              <c16:uniqueId val="{00000000-37EC-4F38-997F-B27E7E57407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cs typeface="Arial" panose="020B0604020202020204" pitchFamily="34" charset="0"/>
              </a:rPr>
              <a:t>Milestone 1</a:t>
            </a:r>
          </a:p>
        </c:rich>
      </c:tx>
      <c:layout>
        <c:manualLayout>
          <c:xMode val="edge"/>
          <c:yMode val="edge"/>
          <c:x val="0.20977416885389324"/>
          <c:y val="2.0797227036395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722222222222217E-2"/>
          <c:y val="0.18779896013864819"/>
          <c:w val="0.81361111111111106"/>
          <c:h val="0.81220103986135184"/>
        </c:manualLayout>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7765-48AA-B2D3-E0ABC7D10C56}"/>
              </c:ext>
            </c:extLst>
          </c:dPt>
          <c:dPt>
            <c:idx val="1"/>
            <c:bubble3D val="0"/>
            <c:spPr>
              <a:solidFill>
                <a:schemeClr val="bg1">
                  <a:lumMod val="95000"/>
                  <a:alpha val="50000"/>
                </a:schemeClr>
              </a:solidFill>
              <a:ln w="19050">
                <a:solidFill>
                  <a:schemeClr val="lt1"/>
                </a:solidFill>
              </a:ln>
              <a:effectLst/>
            </c:spPr>
            <c:extLst>
              <c:ext xmlns:c16="http://schemas.microsoft.com/office/drawing/2014/chart" uri="{C3380CC4-5D6E-409C-BE32-E72D297353CC}">
                <c16:uniqueId val="{00000002-7765-48AA-B2D3-E0ABC7D10C56}"/>
              </c:ext>
            </c:extLst>
          </c:dPt>
          <c:dLbls>
            <c:dLbl>
              <c:idx val="0"/>
              <c:layout>
                <c:manualLayout>
                  <c:x val="-0.27080437402804691"/>
                  <c:y val="-0.17615633401110822"/>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fld id="{31D6D16C-F28E-4DA2-B88F-5380E12808C2}"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/15</a:t>
                    </a:r>
                  </a:p>
                </c:rich>
              </c:tx>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4337568702905544"/>
                      <c:h val="0.20440617366503364"/>
                    </c:manualLayout>
                  </c15:layout>
                  <c15:dlblFieldTable/>
                  <c15:showDataLabelsRange val="0"/>
                </c:ext>
                <c:ext xmlns:c16="http://schemas.microsoft.com/office/drawing/2014/chart" uri="{C3380CC4-5D6E-409C-BE32-E72D297353CC}">
                  <c16:uniqueId val="{00000001-7765-48AA-B2D3-E0ABC7D10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MilestoneGraphs_Calc!$F$15:$F$16</c:f>
              <c:strCache>
                <c:ptCount val="2"/>
                <c:pt idx="0">
                  <c:v>Milestone 1: Establish Greenhouse Gas Inventory and Scope of Work </c:v>
                </c:pt>
                <c:pt idx="1">
                  <c:v>M1:Gap</c:v>
                </c:pt>
              </c:strCache>
            </c:strRef>
          </c:cat>
          <c:val>
            <c:numRef>
              <c:f>MilestoneGraphs_Calc!$H$15:$H$16</c:f>
              <c:numCache>
                <c:formatCode>0</c:formatCode>
                <c:ptCount val="2"/>
                <c:pt idx="0">
                  <c:v>0</c:v>
                </c:pt>
                <c:pt idx="1">
                  <c:v>18</c:v>
                </c:pt>
              </c:numCache>
            </c:numRef>
          </c:val>
          <c:extLst>
            <c:ext xmlns:c16="http://schemas.microsoft.com/office/drawing/2014/chart" uri="{C3380CC4-5D6E-409C-BE32-E72D297353CC}">
              <c16:uniqueId val="{00000000-7765-48AA-B2D3-E0ABC7D10C5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rPr>
              <a:t>Milestone</a:t>
            </a:r>
            <a:r>
              <a:rPr lang="en-US" sz="1400" baseline="0">
                <a:solidFill>
                  <a:sysClr val="windowText" lastClr="000000"/>
                </a:solidFill>
                <a:latin typeface="Work Sans" pitchFamily="2" charset="0"/>
              </a:rPr>
              <a:t> 2</a:t>
            </a:r>
            <a:endParaRPr lang="en-US" sz="1400">
              <a:solidFill>
                <a:sysClr val="windowText" lastClr="000000"/>
              </a:solidFill>
              <a:latin typeface="Work Sans" pitchFamily="2" charset="0"/>
            </a:endParaRPr>
          </a:p>
        </c:rich>
      </c:tx>
      <c:layout>
        <c:manualLayout>
          <c:xMode val="edge"/>
          <c:yMode val="edge"/>
          <c:x val="0.2518919510061242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3567913385826767E-2"/>
          <c:y val="0.16729166666666667"/>
          <c:w val="0.83270833333333338"/>
          <c:h val="0.83270833333333338"/>
        </c:manualLayout>
      </c:layout>
      <c:doughnut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2-798F-4B83-A871-F1C9C9E62F02}"/>
              </c:ext>
            </c:extLst>
          </c:dPt>
          <c:dPt>
            <c:idx val="1"/>
            <c:bubble3D val="0"/>
            <c:spPr>
              <a:solidFill>
                <a:schemeClr val="tx2">
                  <a:lumMod val="10000"/>
                  <a:lumOff val="90000"/>
                  <a:alpha val="50000"/>
                </a:schemeClr>
              </a:solidFill>
              <a:ln w="19050">
                <a:solidFill>
                  <a:schemeClr val="lt1"/>
                </a:solidFill>
              </a:ln>
              <a:effectLst/>
            </c:spPr>
            <c:extLst>
              <c:ext xmlns:c16="http://schemas.microsoft.com/office/drawing/2014/chart" uri="{C3380CC4-5D6E-409C-BE32-E72D297353CC}">
                <c16:uniqueId val="{00000001-798F-4B83-A871-F1C9C9E62F02}"/>
              </c:ext>
            </c:extLst>
          </c:dPt>
          <c:dLbls>
            <c:dLbl>
              <c:idx val="0"/>
              <c:layout>
                <c:manualLayout>
                  <c:x val="-0.29513756979613925"/>
                  <c:y val="4.1672458726782963E-2"/>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fld id="{B0351DB3-F899-4943-BB8A-DC48D2FB4502}"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/15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2457480041652201"/>
                      <c:h val="0.18390949281255503"/>
                    </c:manualLayout>
                  </c15:layout>
                  <c15:dlblFieldTable/>
                  <c15:showDataLabelsRange val="0"/>
                </c:ext>
                <c:ext xmlns:c16="http://schemas.microsoft.com/office/drawing/2014/chart" uri="{C3380CC4-5D6E-409C-BE32-E72D297353CC}">
                  <c16:uniqueId val="{00000002-798F-4B83-A871-F1C9C9E62F0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MilestoneGraphs_Calc!$F$17:$F$18</c:f>
              <c:strCache>
                <c:ptCount val="2"/>
                <c:pt idx="0">
                  <c:v>Milestone 2: Categorize Portfolio</c:v>
                </c:pt>
                <c:pt idx="1">
                  <c:v>M2:Gap</c:v>
                </c:pt>
              </c:strCache>
            </c:strRef>
          </c:cat>
          <c:val>
            <c:numRef>
              <c:f>MilestoneGraphs_Calc!$H$17:$H$18</c:f>
              <c:numCache>
                <c:formatCode>0</c:formatCode>
                <c:ptCount val="2"/>
                <c:pt idx="0">
                  <c:v>0</c:v>
                </c:pt>
                <c:pt idx="1">
                  <c:v>15</c:v>
                </c:pt>
              </c:numCache>
            </c:numRef>
          </c:val>
          <c:extLst>
            <c:ext xmlns:c16="http://schemas.microsoft.com/office/drawing/2014/chart" uri="{C3380CC4-5D6E-409C-BE32-E72D297353CC}">
              <c16:uniqueId val="{00000000-798F-4B83-A871-F1C9C9E62F0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3</a:t>
            </a:r>
          </a:p>
        </c:rich>
      </c:tx>
      <c:layout>
        <c:manualLayout>
          <c:xMode val="edge"/>
          <c:yMode val="edge"/>
          <c:x val="0.216678123930160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9878260869565227E-2"/>
          <c:y val="0.18118055555555557"/>
          <c:w val="0.82024347826086952"/>
          <c:h val="0.818819444444444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D8-447F-A470-39E6B32E607A}"/>
              </c:ext>
            </c:extLst>
          </c:dPt>
          <c:dPt>
            <c:idx val="1"/>
            <c:bubble3D val="0"/>
            <c:spPr>
              <a:solidFill>
                <a:schemeClr val="accent1">
                  <a:lumMod val="20000"/>
                  <a:lumOff val="80000"/>
                  <a:alpha val="50000"/>
                </a:schemeClr>
              </a:solidFill>
              <a:ln w="19050">
                <a:solidFill>
                  <a:schemeClr val="lt1"/>
                </a:solidFill>
              </a:ln>
              <a:effectLst/>
            </c:spPr>
            <c:extLst>
              <c:ext xmlns:c16="http://schemas.microsoft.com/office/drawing/2014/chart" uri="{C3380CC4-5D6E-409C-BE32-E72D297353CC}">
                <c16:uniqueId val="{00000002-CED8-447F-A470-39E6B32E607A}"/>
              </c:ext>
            </c:extLst>
          </c:dPt>
          <c:dLbls>
            <c:dLbl>
              <c:idx val="0"/>
              <c:layout>
                <c:manualLayout>
                  <c:x val="-0.23999662698445293"/>
                  <c:y val="0.18749993158984116"/>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fld id="{9AF18E7D-FB2D-4A73-8E7E-86C83F84FC47}"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/25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1140495406182803"/>
                      <c:h val="0.18390949281255503"/>
                    </c:manualLayout>
                  </c15:layout>
                  <c15:dlblFieldTable/>
                  <c15:showDataLabelsRange val="0"/>
                </c:ext>
                <c:ext xmlns:c16="http://schemas.microsoft.com/office/drawing/2014/chart" uri="{C3380CC4-5D6E-409C-BE32-E72D297353CC}">
                  <c16:uniqueId val="{00000001-CED8-447F-A470-39E6B32E60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MilestoneGraphs_Calc!$F$19:$F$20</c:f>
              <c:strCache>
                <c:ptCount val="2"/>
                <c:pt idx="0">
                  <c:v>Milestone 3: Assess Measures</c:v>
                </c:pt>
                <c:pt idx="1">
                  <c:v>M3:Gap</c:v>
                </c:pt>
              </c:strCache>
            </c:strRef>
          </c:cat>
          <c:val>
            <c:numRef>
              <c:f>MilestoneGraphs_Calc!$H$19:$H$20</c:f>
              <c:numCache>
                <c:formatCode>0</c:formatCode>
                <c:ptCount val="2"/>
                <c:pt idx="0">
                  <c:v>0</c:v>
                </c:pt>
                <c:pt idx="1">
                  <c:v>25</c:v>
                </c:pt>
              </c:numCache>
            </c:numRef>
          </c:val>
          <c:extLst>
            <c:ext xmlns:c16="http://schemas.microsoft.com/office/drawing/2014/chart" uri="{C3380CC4-5D6E-409C-BE32-E72D297353CC}">
              <c16:uniqueId val="{00000000-CED8-447F-A470-39E6B32E607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r>
              <a:rPr lang="en-US"/>
              <a:t>Milestone 4</a:t>
            </a:r>
          </a:p>
        </c:rich>
      </c:tx>
      <c:layout>
        <c:manualLayout>
          <c:xMode val="edge"/>
          <c:yMode val="edge"/>
          <c:x val="0.17573656845753899"/>
          <c:y val="2.0833333333333332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6498996984129148E-2"/>
          <c:y val="0.18545166229221344"/>
          <c:w val="0.82700146017276432"/>
          <c:h val="0.81454833770778656"/>
        </c:manualLayout>
      </c:layout>
      <c:doughnut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D1FF-403D-8724-5209676600C1}"/>
              </c:ext>
            </c:extLst>
          </c:dPt>
          <c:dPt>
            <c:idx val="1"/>
            <c:bubble3D val="0"/>
            <c:spPr>
              <a:solidFill>
                <a:schemeClr val="accent3">
                  <a:lumMod val="20000"/>
                  <a:lumOff val="80000"/>
                  <a:alpha val="50000"/>
                </a:schemeClr>
              </a:solidFill>
              <a:ln w="19050">
                <a:solidFill>
                  <a:schemeClr val="lt1"/>
                </a:solidFill>
              </a:ln>
              <a:effectLst/>
            </c:spPr>
            <c:extLst>
              <c:ext xmlns:c16="http://schemas.microsoft.com/office/drawing/2014/chart" uri="{C3380CC4-5D6E-409C-BE32-E72D297353CC}">
                <c16:uniqueId val="{00000002-D1FF-403D-8724-5209676600C1}"/>
              </c:ext>
            </c:extLst>
          </c:dPt>
          <c:dLbls>
            <c:dLbl>
              <c:idx val="0"/>
              <c:layout>
                <c:manualLayout>
                  <c:x val="-0.26340014329282102"/>
                  <c:y val="-7.1769192913385821E-2"/>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fld id="{28B2EA62-C1FD-4EEB-A257-74CDAB0ABC7A}" type="VALUE">
                      <a:rPr lang="en-US" sz="2000" b="1"/>
                      <a:pPr>
                        <a:defRPr sz="2000" b="1"/>
                      </a:pPr>
                      <a:t>[VALUE]</a:t>
                    </a:fld>
                    <a:r>
                      <a:rPr lang="en-US" sz="2000" b="1"/>
                      <a:t>/25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2730399413732645"/>
                      <c:h val="0.18390949281255503"/>
                    </c:manualLayout>
                  </c15:layout>
                  <c15:dlblFieldTable/>
                  <c15:showDataLabelsRange val="0"/>
                </c:ext>
                <c:ext xmlns:c16="http://schemas.microsoft.com/office/drawing/2014/chart" uri="{C3380CC4-5D6E-409C-BE32-E72D297353CC}">
                  <c16:uniqueId val="{00000001-D1FF-403D-8724-5209676600C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Work Sans"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MilestoneGraphs_Calc!$F$21:$F$22</c:f>
              <c:strCache>
                <c:ptCount val="2"/>
                <c:pt idx="0">
                  <c:v>Milestone 4: Develop Scenarios</c:v>
                </c:pt>
                <c:pt idx="1">
                  <c:v>M4:Gap</c:v>
                </c:pt>
              </c:strCache>
            </c:strRef>
          </c:cat>
          <c:val>
            <c:numRef>
              <c:f>MilestoneGraphs_Calc!$H$21:$H$22</c:f>
              <c:numCache>
                <c:formatCode>0</c:formatCode>
                <c:ptCount val="2"/>
                <c:pt idx="0">
                  <c:v>0</c:v>
                </c:pt>
                <c:pt idx="1">
                  <c:v>22</c:v>
                </c:pt>
              </c:numCache>
            </c:numRef>
          </c:val>
          <c:extLst>
            <c:ext xmlns:c16="http://schemas.microsoft.com/office/drawing/2014/chart" uri="{C3380CC4-5D6E-409C-BE32-E72D297353CC}">
              <c16:uniqueId val="{00000000-D1FF-403D-8724-5209676600C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6</a:t>
            </a:r>
          </a:p>
        </c:rich>
      </c:tx>
      <c:layout>
        <c:manualLayout>
          <c:xMode val="edge"/>
          <c:yMode val="edge"/>
          <c:x val="0.21022528433945761"/>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9.0590551181102361E-2"/>
          <c:y val="0.16034722222222222"/>
          <c:w val="0.8396527777777778"/>
          <c:h val="0.8396527777777778"/>
        </c:manualLayout>
      </c:layout>
      <c:doughnut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1-B72E-4FB9-87A9-158F95FAD67A}"/>
              </c:ext>
            </c:extLst>
          </c:dPt>
          <c:dPt>
            <c:idx val="1"/>
            <c:bubble3D val="0"/>
            <c:spPr>
              <a:solidFill>
                <a:schemeClr val="accent5">
                  <a:lumMod val="20000"/>
                  <a:lumOff val="80000"/>
                  <a:alpha val="50000"/>
                </a:schemeClr>
              </a:solidFill>
              <a:ln w="19050">
                <a:solidFill>
                  <a:schemeClr val="lt1"/>
                </a:solidFill>
              </a:ln>
              <a:effectLst/>
            </c:spPr>
            <c:extLst>
              <c:ext xmlns:c16="http://schemas.microsoft.com/office/drawing/2014/chart" uri="{C3380CC4-5D6E-409C-BE32-E72D297353CC}">
                <c16:uniqueId val="{00000002-B72E-4FB9-87A9-158F95FAD67A}"/>
              </c:ext>
            </c:extLst>
          </c:dPt>
          <c:dLbls>
            <c:dLbl>
              <c:idx val="0"/>
              <c:layout>
                <c:manualLayout>
                  <c:x val="-0.239585445779708"/>
                  <c:y val="0.18404565245756402"/>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fld id="{D936A955-6B1D-4FF1-8E29-B11A44F99880}"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/5</a:t>
                    </a:r>
                  </a:p>
                </c:rich>
              </c:tx>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1351947459188221"/>
                      <c:h val="0.20128483883594786"/>
                    </c:manualLayout>
                  </c15:layout>
                  <c15:dlblFieldTable/>
                  <c15:showDataLabelsRange val="0"/>
                </c:ext>
                <c:ext xmlns:c16="http://schemas.microsoft.com/office/drawing/2014/chart" uri="{C3380CC4-5D6E-409C-BE32-E72D297353CC}">
                  <c16:uniqueId val="{00000001-B72E-4FB9-87A9-158F95FAD6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MilestoneGraphs_Calc!$F$25:$F$26</c:f>
              <c:strCache>
                <c:ptCount val="2"/>
                <c:pt idx="0">
                  <c:v>Milestone 6: Ongoing Implementation </c:v>
                </c:pt>
                <c:pt idx="1">
                  <c:v>M6:Gap</c:v>
                </c:pt>
              </c:strCache>
            </c:strRef>
          </c:cat>
          <c:val>
            <c:numRef>
              <c:f>MilestoneGraphs_Calc!$H$25:$H$26</c:f>
              <c:numCache>
                <c:formatCode>0</c:formatCode>
                <c:ptCount val="2"/>
                <c:pt idx="0">
                  <c:v>0</c:v>
                </c:pt>
                <c:pt idx="1">
                  <c:v>5</c:v>
                </c:pt>
              </c:numCache>
            </c:numRef>
          </c:val>
          <c:extLst>
            <c:ext xmlns:c16="http://schemas.microsoft.com/office/drawing/2014/chart" uri="{C3380CC4-5D6E-409C-BE32-E72D297353CC}">
              <c16:uniqueId val="{00000000-B72E-4FB9-87A9-158F95FAD67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r>
              <a:rPr lang="en-US" sz="3000"/>
              <a:t>ERP Score</a:t>
            </a:r>
          </a:p>
        </c:rich>
      </c:tx>
      <c:layout>
        <c:manualLayout>
          <c:xMode val="edge"/>
          <c:yMode val="edge"/>
          <c:x val="0.25180555555555556"/>
          <c:y val="0"/>
        </c:manualLayout>
      </c:layout>
      <c:overlay val="0"/>
      <c:spPr>
        <a:noFill/>
        <a:ln>
          <a:noFill/>
        </a:ln>
        <a:effectLst/>
      </c:spPr>
      <c:txPr>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6.8290955818022747E-2"/>
          <c:y val="0.11923185664237765"/>
          <c:w val="0.8807794728783902"/>
          <c:h val="0.88001557047346535"/>
        </c:manualLayout>
      </c:layout>
      <c:doughnutChart>
        <c:varyColors val="1"/>
        <c:ser>
          <c:idx val="0"/>
          <c:order val="0"/>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1-D3ED-4F97-ADBA-60C338DDEC33}"/>
              </c:ext>
            </c:extLst>
          </c:dPt>
          <c:dPt>
            <c:idx val="1"/>
            <c:bubble3D val="0"/>
            <c:spPr>
              <a:solidFill>
                <a:schemeClr val="accent3">
                  <a:lumMod val="60000"/>
                  <a:lumOff val="40000"/>
                  <a:alpha val="20000"/>
                </a:schemeClr>
              </a:solidFill>
              <a:ln w="19050">
                <a:solidFill>
                  <a:schemeClr val="lt1"/>
                </a:solidFill>
              </a:ln>
              <a:effectLst/>
            </c:spPr>
            <c:extLst>
              <c:ext xmlns:c16="http://schemas.microsoft.com/office/drawing/2014/chart" uri="{C3380CC4-5D6E-409C-BE32-E72D297353CC}">
                <c16:uniqueId val="{00000002-D3ED-4F97-ADBA-60C338DDEC33}"/>
              </c:ext>
            </c:extLst>
          </c:dPt>
          <c:cat>
            <c:strRef>
              <c:f>MilestoneGraphs_Calc!$F$26:$F$28</c:f>
              <c:strCache>
                <c:ptCount val="3"/>
                <c:pt idx="0">
                  <c:v>M6:Gap</c:v>
                </c:pt>
                <c:pt idx="1">
                  <c:v>ERP total</c:v>
                </c:pt>
                <c:pt idx="2">
                  <c:v>Gap total</c:v>
                </c:pt>
              </c:strCache>
            </c:strRef>
          </c:cat>
          <c:val>
            <c:numRef>
              <c:f>MilestoneGraphs_Calc!$H$27:$H$28</c:f>
              <c:numCache>
                <c:formatCode>0</c:formatCode>
                <c:ptCount val="2"/>
                <c:pt idx="0">
                  <c:v>0</c:v>
                </c:pt>
                <c:pt idx="1">
                  <c:v>100</c:v>
                </c:pt>
              </c:numCache>
            </c:numRef>
          </c:val>
          <c:extLst>
            <c:ext xmlns:c16="http://schemas.microsoft.com/office/drawing/2014/chart" uri="{C3380CC4-5D6E-409C-BE32-E72D297353CC}">
              <c16:uniqueId val="{00000000-D3ED-4F97-ADBA-60C338DDEC3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18" Type="http://schemas.openxmlformats.org/officeDocument/2006/relationships/chart" Target="../charts/chart14.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image" Target="../media/image10.png"/><Relationship Id="rId2" Type="http://schemas.openxmlformats.org/officeDocument/2006/relationships/image" Target="../media/image5.png"/><Relationship Id="rId16"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3</xdr:col>
      <xdr:colOff>926856</xdr:colOff>
      <xdr:row>30</xdr:row>
      <xdr:rowOff>160217</xdr:rowOff>
    </xdr:from>
    <xdr:to>
      <xdr:col>5</xdr:col>
      <xdr:colOff>533156</xdr:colOff>
      <xdr:row>35</xdr:row>
      <xdr:rowOff>115855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946281" y="6456242"/>
          <a:ext cx="1682750" cy="860513"/>
        </a:xfrm>
        <a:prstGeom prst="rect">
          <a:avLst/>
        </a:prstGeom>
      </xdr:spPr>
    </xdr:pic>
    <xdr:clientData/>
  </xdr:twoCellAnchor>
  <xdr:twoCellAnchor editAs="oneCell">
    <xdr:from>
      <xdr:col>2</xdr:col>
      <xdr:colOff>740994</xdr:colOff>
      <xdr:row>30</xdr:row>
      <xdr:rowOff>135303</xdr:rowOff>
    </xdr:from>
    <xdr:to>
      <xdr:col>3</xdr:col>
      <xdr:colOff>620344</xdr:colOff>
      <xdr:row>35</xdr:row>
      <xdr:rowOff>120678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722194" y="6431328"/>
          <a:ext cx="914400" cy="893425"/>
        </a:xfrm>
        <a:prstGeom prst="rect">
          <a:avLst/>
        </a:prstGeom>
      </xdr:spPr>
    </xdr:pic>
    <xdr:clientData/>
  </xdr:twoCellAnchor>
  <xdr:twoCellAnchor editAs="oneCell">
    <xdr:from>
      <xdr:col>0</xdr:col>
      <xdr:colOff>0</xdr:colOff>
      <xdr:row>0</xdr:row>
      <xdr:rowOff>0</xdr:rowOff>
    </xdr:from>
    <xdr:to>
      <xdr:col>0</xdr:col>
      <xdr:colOff>973888</xdr:colOff>
      <xdr:row>1</xdr:row>
      <xdr:rowOff>11722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972911" cy="968374"/>
        </a:xfrm>
        <a:prstGeom prst="rect">
          <a:avLst/>
        </a:prstGeom>
      </xdr:spPr>
    </xdr:pic>
    <xdr:clientData/>
  </xdr:twoCellAnchor>
  <xdr:twoCellAnchor editAs="oneCell">
    <xdr:from>
      <xdr:col>7</xdr:col>
      <xdr:colOff>615462</xdr:colOff>
      <xdr:row>0</xdr:row>
      <xdr:rowOff>0</xdr:rowOff>
    </xdr:from>
    <xdr:to>
      <xdr:col>9</xdr:col>
      <xdr:colOff>7060</xdr:colOff>
      <xdr:row>0</xdr:row>
      <xdr:rowOff>879340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val="0"/>
            </a:ext>
          </a:extLst>
        </a:blip>
        <a:srcRect l="27679"/>
        <a:stretch/>
      </xdr:blipFill>
      <xdr:spPr>
        <a:xfrm>
          <a:off x="7898424" y="0"/>
          <a:ext cx="1459744" cy="879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473075</xdr:colOff>
      <xdr:row>0</xdr:row>
      <xdr:rowOff>0</xdr:rowOff>
    </xdr:from>
    <xdr:to>
      <xdr:col>19</xdr:col>
      <xdr:colOff>132201</xdr:colOff>
      <xdr:row>0</xdr:row>
      <xdr:rowOff>934093</xdr:rowOff>
    </xdr:to>
    <xdr:pic>
      <xdr:nvPicPr>
        <xdr:cNvPr id="2" name="Picture 1">
          <a:extLst>
            <a:ext uri="{FF2B5EF4-FFF2-40B4-BE49-F238E27FC236}">
              <a16:creationId xmlns:a16="http://schemas.microsoft.com/office/drawing/2014/main" id="{CA891470-E7F2-4BA3-A9FB-923BC821358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714105" y="0"/>
          <a:ext cx="2097526" cy="934093"/>
        </a:xfrm>
        <a:prstGeom prst="rect">
          <a:avLst/>
        </a:prstGeom>
      </xdr:spPr>
    </xdr:pic>
    <xdr:clientData/>
  </xdr:twoCellAnchor>
  <xdr:twoCellAnchor editAs="oneCell">
    <xdr:from>
      <xdr:col>0</xdr:col>
      <xdr:colOff>0</xdr:colOff>
      <xdr:row>0</xdr:row>
      <xdr:rowOff>2</xdr:rowOff>
    </xdr:from>
    <xdr:to>
      <xdr:col>2</xdr:col>
      <xdr:colOff>332468</xdr:colOff>
      <xdr:row>1</xdr:row>
      <xdr:rowOff>5716</xdr:rowOff>
    </xdr:to>
    <xdr:pic>
      <xdr:nvPicPr>
        <xdr:cNvPr id="3" name="Picture 2">
          <a:extLst>
            <a:ext uri="{FF2B5EF4-FFF2-40B4-BE49-F238E27FC236}">
              <a16:creationId xmlns:a16="http://schemas.microsoft.com/office/drawing/2014/main" id="{4A52CA7B-D8A4-47CB-BCC7-61A4D04E5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
          <a:ext cx="992868" cy="977264"/>
        </a:xfrm>
        <a:prstGeom prst="rect">
          <a:avLst/>
        </a:prstGeom>
      </xdr:spPr>
    </xdr:pic>
    <xdr:clientData/>
  </xdr:twoCellAnchor>
  <xdr:twoCellAnchor editAs="oneCell">
    <xdr:from>
      <xdr:col>0</xdr:col>
      <xdr:colOff>54430</xdr:colOff>
      <xdr:row>1</xdr:row>
      <xdr:rowOff>56724</xdr:rowOff>
    </xdr:from>
    <xdr:to>
      <xdr:col>19</xdr:col>
      <xdr:colOff>140245</xdr:colOff>
      <xdr:row>20</xdr:row>
      <xdr:rowOff>194700</xdr:rowOff>
    </xdr:to>
    <xdr:pic>
      <xdr:nvPicPr>
        <xdr:cNvPr id="4" name="Picture 3">
          <a:extLst>
            <a:ext uri="{FF2B5EF4-FFF2-40B4-BE49-F238E27FC236}">
              <a16:creationId xmlns:a16="http://schemas.microsoft.com/office/drawing/2014/main" id="{9D9BA799-A255-4DD2-A939-A7BDD76C08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40" y="1416894"/>
          <a:ext cx="10753815" cy="3878126"/>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10</xdr:col>
      <xdr:colOff>600075</xdr:colOff>
      <xdr:row>0</xdr:row>
      <xdr:rowOff>939800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6381750" y="0"/>
          <a:ext cx="2200275" cy="939800"/>
        </a:xfrm>
        <a:prstGeom prst="rect">
          <a:avLst/>
        </a:prstGeom>
      </xdr:spPr>
    </xdr:pic>
    <xdr:clientData/>
  </xdr:twoCellAnchor>
  <xdr:twoCellAnchor editAs="oneCell">
    <xdr:from>
      <xdr:col>0</xdr:col>
      <xdr:colOff>1</xdr:colOff>
      <xdr:row>0</xdr:row>
      <xdr:rowOff>0</xdr:rowOff>
    </xdr:from>
    <xdr:to>
      <xdr:col>1</xdr:col>
      <xdr:colOff>304801</xdr:colOff>
      <xdr:row>0</xdr:row>
      <xdr:rowOff>933450</xdr:rowOff>
    </xdr:to>
    <xdr:pic>
      <xdr:nvPicPr>
        <xdr:cNvPr id="3" name="Picture 2" descr="File:DOE Seal Color.sv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914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971550</xdr:colOff>
      <xdr:row>0</xdr:row>
      <xdr:rowOff>0</xdr:rowOff>
    </xdr:from>
    <xdr:to>
      <xdr:col>7</xdr:col>
      <xdr:colOff>73026</xdr:colOff>
      <xdr:row>0</xdr:row>
      <xdr:rowOff>885370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182225" y="0"/>
          <a:ext cx="2187576" cy="888545"/>
        </a:xfrm>
        <a:prstGeom prst="rect">
          <a:avLst/>
        </a:prstGeom>
      </xdr:spPr>
    </xdr:pic>
    <xdr:clientData/>
  </xdr:twoCellAnchor>
  <xdr:twoCellAnchor editAs="oneCell">
    <xdr:from>
      <xdr:col>0</xdr:col>
      <xdr:colOff>0</xdr:colOff>
      <xdr:row>0</xdr:row>
      <xdr:rowOff>0</xdr:rowOff>
    </xdr:from>
    <xdr:to>
      <xdr:col>0</xdr:col>
      <xdr:colOff>942975</xdr:colOff>
      <xdr:row>0</xdr:row>
      <xdr:rowOff>927099</xdr:rowOff>
    </xdr:to>
    <xdr:pic>
      <xdr:nvPicPr>
        <xdr:cNvPr id="3" name="Picture 2" descr="File:DOE Seal Color.sv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42975" cy="92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358330</xdr:colOff>
      <xdr:row>0</xdr:row>
      <xdr:rowOff>0</xdr:rowOff>
    </xdr:from>
    <xdr:to>
      <xdr:col>27</xdr:col>
      <xdr:colOff>202690</xdr:colOff>
      <xdr:row>1</xdr:row>
      <xdr:rowOff>8855</xdr:rowOff>
    </xdr:to>
    <xdr:pic>
      <xdr:nvPicPr>
        <xdr:cNvPr id="23" name="Picture 1">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9431562" y="0"/>
          <a:ext cx="2263632" cy="987762"/>
        </a:xfrm>
        <a:prstGeom prst="rect">
          <a:avLst/>
        </a:prstGeom>
      </xdr:spPr>
    </xdr:pic>
    <xdr:clientData/>
  </xdr:twoCellAnchor>
  <xdr:twoCellAnchor editAs="oneCell">
    <xdr:from>
      <xdr:col>0</xdr:col>
      <xdr:colOff>0</xdr:colOff>
      <xdr:row>0</xdr:row>
      <xdr:rowOff>0</xdr:rowOff>
    </xdr:from>
    <xdr:to>
      <xdr:col>1</xdr:col>
      <xdr:colOff>707571</xdr:colOff>
      <xdr:row>0</xdr:row>
      <xdr:rowOff>941643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66107" cy="944818"/>
        </a:xfrm>
        <a:prstGeom prst="rect">
          <a:avLst/>
        </a:prstGeom>
      </xdr:spPr>
    </xdr:pic>
    <xdr:clientData/>
  </xdr:twoCellAnchor>
  <xdr:twoCellAnchor>
    <xdr:from>
      <xdr:col>16</xdr:col>
      <xdr:colOff>140303</xdr:colOff>
      <xdr:row>115</xdr:row>
      <xdr:rowOff>362240</xdr:rowOff>
    </xdr:from>
    <xdr:to>
      <xdr:col>19</xdr:col>
      <xdr:colOff>84817</xdr:colOff>
      <xdr:row>127</xdr:row>
      <xdr:rowOff>79710</xdr:rowOff>
    </xdr:to>
    <xdr:graphicFrame macro="">
      <xdr:nvGraphicFramePr>
        <xdr:cNvPr id="27" name="Chart 19">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140447</xdr:colOff>
      <xdr:row>30</xdr:row>
      <xdr:rowOff>36287</xdr:rowOff>
    </xdr:from>
    <xdr:to>
      <xdr:col>26</xdr:col>
      <xdr:colOff>543832</xdr:colOff>
      <xdr:row>41</xdr:row>
      <xdr:rowOff>297666</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133802</xdr:colOff>
      <xdr:row>46</xdr:row>
      <xdr:rowOff>302986</xdr:rowOff>
    </xdr:from>
    <xdr:to>
      <xdr:col>27</xdr:col>
      <xdr:colOff>63784</xdr:colOff>
      <xdr:row>59</xdr:row>
      <xdr:rowOff>7711</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124278</xdr:colOff>
      <xdr:row>63</xdr:row>
      <xdr:rowOff>250824</xdr:rowOff>
    </xdr:from>
    <xdr:to>
      <xdr:col>27</xdr:col>
      <xdr:colOff>27766</xdr:colOff>
      <xdr:row>70</xdr:row>
      <xdr:rowOff>306613</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141060</xdr:colOff>
      <xdr:row>80</xdr:row>
      <xdr:rowOff>210457</xdr:rowOff>
    </xdr:from>
    <xdr:to>
      <xdr:col>27</xdr:col>
      <xdr:colOff>44548</xdr:colOff>
      <xdr:row>87</xdr:row>
      <xdr:rowOff>311150</xdr:rowOff>
    </xdr:to>
    <xdr:graphicFrame macro="">
      <xdr:nvGraphicFramePr>
        <xdr:cNvPr id="17" name="Chart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207281</xdr:colOff>
      <xdr:row>97</xdr:row>
      <xdr:rowOff>197757</xdr:rowOff>
    </xdr:from>
    <xdr:to>
      <xdr:col>27</xdr:col>
      <xdr:colOff>98069</xdr:colOff>
      <xdr:row>106</xdr:row>
      <xdr:rowOff>238126</xdr:rowOff>
    </xdr:to>
    <xdr:graphicFrame macro="">
      <xdr:nvGraphicFramePr>
        <xdr:cNvPr id="21" name="Chart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65314</xdr:colOff>
      <xdr:row>2</xdr:row>
      <xdr:rowOff>11753</xdr:rowOff>
    </xdr:from>
    <xdr:to>
      <xdr:col>27</xdr:col>
      <xdr:colOff>124717</xdr:colOff>
      <xdr:row>11</xdr:row>
      <xdr:rowOff>1513567</xdr:rowOff>
    </xdr:to>
    <xdr:grpSp>
      <xdr:nvGrpSpPr>
        <xdr:cNvPr id="13" name="Group 12">
          <a:extLst>
            <a:ext uri="{FF2B5EF4-FFF2-40B4-BE49-F238E27FC236}">
              <a16:creationId xmlns:a16="http://schemas.microsoft.com/office/drawing/2014/main" id="{00000000-0008-0000-0B00-00000D000000}"/>
            </a:ext>
          </a:extLst>
        </xdr:cNvPr>
        <xdr:cNvGrpSpPr/>
      </xdr:nvGrpSpPr>
      <xdr:grpSpPr>
        <a:xfrm>
          <a:off x="16012097" y="1171318"/>
          <a:ext cx="8949403" cy="3589032"/>
          <a:chOff x="12468282" y="1171751"/>
          <a:chExt cx="8752809" cy="3443526"/>
        </a:xfrm>
      </xdr:grpSpPr>
      <xdr:grpSp>
        <xdr:nvGrpSpPr>
          <xdr:cNvPr id="30" name="Group 29">
            <a:extLst>
              <a:ext uri="{FF2B5EF4-FFF2-40B4-BE49-F238E27FC236}">
                <a16:creationId xmlns:a16="http://schemas.microsoft.com/office/drawing/2014/main" id="{00000000-0008-0000-0B00-00001E000000}"/>
              </a:ext>
            </a:extLst>
          </xdr:cNvPr>
          <xdr:cNvGrpSpPr/>
        </xdr:nvGrpSpPr>
        <xdr:grpSpPr>
          <a:xfrm>
            <a:off x="12468282" y="1171751"/>
            <a:ext cx="8752809" cy="3443526"/>
            <a:chOff x="10755316" y="291956"/>
            <a:chExt cx="9140821" cy="3662506"/>
          </a:xfrm>
        </xdr:grpSpPr>
        <xdr:grpSp>
          <xdr:nvGrpSpPr>
            <xdr:cNvPr id="31" name="Group 30">
              <a:extLst>
                <a:ext uri="{FF2B5EF4-FFF2-40B4-BE49-F238E27FC236}">
                  <a16:creationId xmlns:a16="http://schemas.microsoft.com/office/drawing/2014/main" id="{00000000-0008-0000-0B00-00001F000000}"/>
                </a:ext>
              </a:extLst>
            </xdr:cNvPr>
            <xdr:cNvGrpSpPr/>
          </xdr:nvGrpSpPr>
          <xdr:grpSpPr>
            <a:xfrm>
              <a:off x="14409737" y="291956"/>
              <a:ext cx="5486400" cy="3662506"/>
              <a:chOff x="14409737" y="291956"/>
              <a:chExt cx="5486400" cy="3662506"/>
            </a:xfrm>
          </xdr:grpSpPr>
          <xdr:graphicFrame macro="">
            <xdr:nvGraphicFramePr>
              <xdr:cNvPr id="34" name="Chart 33">
                <a:extLst>
                  <a:ext uri="{FF2B5EF4-FFF2-40B4-BE49-F238E27FC236}">
                    <a16:creationId xmlns:a16="http://schemas.microsoft.com/office/drawing/2014/main" id="{00000000-0008-0000-0B00-000022000000}"/>
                  </a:ext>
                </a:extLst>
              </xdr:cNvPr>
              <xdr:cNvGraphicFramePr/>
            </xdr:nvGraphicFramePr>
            <xdr:xfrm>
              <a:off x="14409737" y="293687"/>
              <a:ext cx="1828800" cy="183197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39">
                <a:extLst>
                  <a:ext uri="{FF2B5EF4-FFF2-40B4-BE49-F238E27FC236}">
                    <a16:creationId xmlns:a16="http://schemas.microsoft.com/office/drawing/2014/main" id="{00000000-0008-0000-0B00-000028000000}"/>
                  </a:ext>
                </a:extLst>
              </xdr:cNvPr>
              <xdr:cNvGraphicFramePr/>
            </xdr:nvGraphicFramePr>
            <xdr:xfrm>
              <a:off x="16241712" y="293688"/>
              <a:ext cx="1828800" cy="1845903"/>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40">
                <a:extLst>
                  <a:ext uri="{FF2B5EF4-FFF2-40B4-BE49-F238E27FC236}">
                    <a16:creationId xmlns:a16="http://schemas.microsoft.com/office/drawing/2014/main" id="{00000000-0008-0000-0B00-000029000000}"/>
                  </a:ext>
                </a:extLst>
              </xdr:cNvPr>
              <xdr:cNvGraphicFramePr/>
            </xdr:nvGraphicFramePr>
            <xdr:xfrm>
              <a:off x="18070512" y="291956"/>
              <a:ext cx="1825625" cy="184759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41">
                <a:extLst>
                  <a:ext uri="{FF2B5EF4-FFF2-40B4-BE49-F238E27FC236}">
                    <a16:creationId xmlns:a16="http://schemas.microsoft.com/office/drawing/2014/main" id="{00000000-0008-0000-0B00-00002A000000}"/>
                  </a:ext>
                </a:extLst>
              </xdr:cNvPr>
              <xdr:cNvGraphicFramePr/>
            </xdr:nvGraphicFramePr>
            <xdr:xfrm>
              <a:off x="14409737" y="2125662"/>
              <a:ext cx="1831975" cy="18288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42">
                <a:extLst>
                  <a:ext uri="{FF2B5EF4-FFF2-40B4-BE49-F238E27FC236}">
                    <a16:creationId xmlns:a16="http://schemas.microsoft.com/office/drawing/2014/main" id="{00000000-0008-0000-0B00-00002B000000}"/>
                  </a:ext>
                </a:extLst>
              </xdr:cNvPr>
              <xdr:cNvGraphicFramePr/>
            </xdr:nvGraphicFramePr>
            <xdr:xfrm>
              <a:off x="18067337" y="2125662"/>
              <a:ext cx="1828800" cy="1825625"/>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3" name="Chart 32">
                <a:extLst>
                  <a:ext uri="{FF2B5EF4-FFF2-40B4-BE49-F238E27FC236}">
                    <a16:creationId xmlns:a16="http://schemas.microsoft.com/office/drawing/2014/main" id="{00000000-0008-0000-0B00-000021000000}"/>
                  </a:ext>
                </a:extLst>
              </xdr:cNvPr>
              <xdr:cNvGraphicFramePr/>
            </xdr:nvGraphicFramePr>
            <xdr:xfrm>
              <a:off x="16240126" y="2125662"/>
              <a:ext cx="1828800" cy="1828800"/>
            </xdr:xfrm>
            <a:graphic>
              <a:graphicData uri="http://schemas.openxmlformats.org/drawingml/2006/chart">
                <c:chart xmlns:c="http://schemas.openxmlformats.org/drawingml/2006/chart" xmlns:r="http://schemas.openxmlformats.org/officeDocument/2006/relationships" r:id="rId14"/>
              </a:graphicData>
            </a:graphic>
          </xdr:graphicFrame>
        </xdr:grpSp>
        <xdr:graphicFrame macro="">
          <xdr:nvGraphicFramePr>
            <xdr:cNvPr id="32" name="Chart 31">
              <a:extLst>
                <a:ext uri="{FF2B5EF4-FFF2-40B4-BE49-F238E27FC236}">
                  <a16:creationId xmlns:a16="http://schemas.microsoft.com/office/drawing/2014/main" id="{00000000-0008-0000-0B00-000020000000}"/>
                </a:ext>
              </a:extLst>
            </xdr:cNvPr>
            <xdr:cNvGraphicFramePr/>
          </xdr:nvGraphicFramePr>
          <xdr:xfrm>
            <a:off x="10755316" y="293687"/>
            <a:ext cx="3658926" cy="3660775"/>
          </xdr:xfrm>
          <a:graphic>
            <a:graphicData uri="http://schemas.openxmlformats.org/drawingml/2006/chart">
              <c:chart xmlns:c="http://schemas.openxmlformats.org/drawingml/2006/chart" xmlns:r="http://schemas.openxmlformats.org/officeDocument/2006/relationships" r:id="rId15"/>
            </a:graphicData>
          </a:graphic>
        </xdr:graphicFrame>
      </xdr:grpSp>
      <xdr:sp macro="" textlink="$AI$2">
        <xdr:nvSpPr>
          <xdr:cNvPr id="5" name="TextBox 4">
            <a:extLst>
              <a:ext uri="{FF2B5EF4-FFF2-40B4-BE49-F238E27FC236}">
                <a16:creationId xmlns:a16="http://schemas.microsoft.com/office/drawing/2014/main" id="{00000000-0008-0000-0B00-000005000000}"/>
              </a:ext>
            </a:extLst>
          </xdr:cNvPr>
          <xdr:cNvSpPr txBox="1"/>
        </xdr:nvSpPr>
        <xdr:spPr>
          <a:xfrm>
            <a:off x="16512038" y="2006735"/>
            <a:ext cx="740352" cy="372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B938D5F-8420-4DB6-984E-AF2BD67B56CF}" type="TxLink">
              <a:rPr lang="en-US" sz="2000" b="1" i="0" u="none" strike="noStrike">
                <a:solidFill>
                  <a:srgbClr val="000000"/>
                </a:solidFill>
                <a:latin typeface="Work Sans" pitchFamily="2" charset="0"/>
                <a:cs typeface="Arial"/>
              </a:rPr>
              <a:pPr/>
              <a:t>0/18</a:t>
            </a:fld>
            <a:endParaRPr lang="en-US" sz="2000" b="1">
              <a:latin typeface="Work Sans" pitchFamily="2" charset="0"/>
            </a:endParaRPr>
          </a:p>
        </xdr:txBody>
      </xdr:sp>
      <xdr:sp macro="" textlink="$AI$3">
        <xdr:nvSpPr>
          <xdr:cNvPr id="6" name="TextBox 5">
            <a:extLst>
              <a:ext uri="{FF2B5EF4-FFF2-40B4-BE49-F238E27FC236}">
                <a16:creationId xmlns:a16="http://schemas.microsoft.com/office/drawing/2014/main" id="{00000000-0008-0000-0B00-000006000000}"/>
              </a:ext>
            </a:extLst>
          </xdr:cNvPr>
          <xdr:cNvSpPr txBox="1"/>
        </xdr:nvSpPr>
        <xdr:spPr>
          <a:xfrm>
            <a:off x="18279899" y="2007600"/>
            <a:ext cx="791306" cy="38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82E46D2-58EF-456B-9746-B9851F6BAFB2}" type="TxLink">
              <a:rPr lang="en-US" sz="2000" b="1" i="0" u="none" strike="noStrike">
                <a:solidFill>
                  <a:srgbClr val="000000"/>
                </a:solidFill>
                <a:latin typeface="Work Sans" pitchFamily="2" charset="0"/>
                <a:cs typeface="Arial"/>
              </a:rPr>
              <a:pPr/>
              <a:t>0/15</a:t>
            </a:fld>
            <a:endParaRPr lang="en-US" sz="2000" b="1">
              <a:latin typeface="Work Sans" pitchFamily="2" charset="0"/>
            </a:endParaRPr>
          </a:p>
        </xdr:txBody>
      </xdr:sp>
      <xdr:sp macro="" textlink="$AI$6">
        <xdr:nvSpPr>
          <xdr:cNvPr id="11" name="TextBox 10">
            <a:extLst>
              <a:ext uri="{FF2B5EF4-FFF2-40B4-BE49-F238E27FC236}">
                <a16:creationId xmlns:a16="http://schemas.microsoft.com/office/drawing/2014/main" id="{00000000-0008-0000-0B00-00000B000000}"/>
              </a:ext>
            </a:extLst>
          </xdr:cNvPr>
          <xdr:cNvSpPr txBox="1"/>
        </xdr:nvSpPr>
        <xdr:spPr>
          <a:xfrm>
            <a:off x="18233338" y="3712780"/>
            <a:ext cx="877155" cy="372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2D40183-7D7B-473E-9729-AC6B37CE76FE}" type="TxLink">
              <a:rPr lang="en-US" sz="2000" b="1" i="0" u="none" strike="noStrike">
                <a:solidFill>
                  <a:srgbClr val="000000"/>
                </a:solidFill>
                <a:latin typeface="Work Sans" pitchFamily="2" charset="0"/>
                <a:cs typeface="Arial"/>
              </a:rPr>
              <a:pPr/>
              <a:t>0/15</a:t>
            </a:fld>
            <a:endParaRPr lang="en-US" sz="2000" b="1">
              <a:latin typeface="Work Sans" pitchFamily="2" charset="0"/>
            </a:endParaRPr>
          </a:p>
        </xdr:txBody>
      </xdr:sp>
    </xdr:grpSp>
    <xdr:clientData/>
  </xdr:twoCellAnchor>
  <xdr:twoCellAnchor editAs="oneCell">
    <xdr:from>
      <xdr:col>16</xdr:col>
      <xdr:colOff>163286</xdr:colOff>
      <xdr:row>112</xdr:row>
      <xdr:rowOff>45774</xdr:rowOff>
    </xdr:from>
    <xdr:to>
      <xdr:col>19</xdr:col>
      <xdr:colOff>57602</xdr:colOff>
      <xdr:row>116</xdr:row>
      <xdr:rowOff>995</xdr:rowOff>
    </xdr:to>
    <xdr:pic>
      <xdr:nvPicPr>
        <xdr:cNvPr id="26"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6"/>
        <a:stretch>
          <a:fillRect/>
        </a:stretch>
      </xdr:blipFill>
      <xdr:spPr>
        <a:xfrm>
          <a:off x="18492107" y="54161381"/>
          <a:ext cx="1826532" cy="1191030"/>
        </a:xfrm>
        <a:prstGeom prst="rect">
          <a:avLst/>
        </a:prstGeom>
      </xdr:spPr>
    </xdr:pic>
    <xdr:clientData/>
  </xdr:twoCellAnchor>
  <xdr:twoCellAnchor editAs="oneCell">
    <xdr:from>
      <xdr:col>19</xdr:col>
      <xdr:colOff>156029</xdr:colOff>
      <xdr:row>25</xdr:row>
      <xdr:rowOff>193675</xdr:rowOff>
    </xdr:from>
    <xdr:to>
      <xdr:col>24</xdr:col>
      <xdr:colOff>447700</xdr:colOff>
      <xdr:row>29</xdr:row>
      <xdr:rowOff>142671</xdr:rowOff>
    </xdr:to>
    <xdr:pic>
      <xdr:nvPicPr>
        <xdr:cNvPr id="14" name="Picture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7"/>
        <a:stretch>
          <a:fillRect/>
        </a:stretch>
      </xdr:blipFill>
      <xdr:spPr>
        <a:xfrm>
          <a:off x="16661493" y="10780032"/>
          <a:ext cx="3410881" cy="823031"/>
        </a:xfrm>
        <a:prstGeom prst="rect">
          <a:avLst/>
        </a:prstGeom>
      </xdr:spPr>
    </xdr:pic>
    <xdr:clientData/>
  </xdr:twoCellAnchor>
  <xdr:twoCellAnchor editAs="oneCell">
    <xdr:from>
      <xdr:col>19</xdr:col>
      <xdr:colOff>124077</xdr:colOff>
      <xdr:row>43</xdr:row>
      <xdr:rowOff>6806</xdr:rowOff>
    </xdr:from>
    <xdr:to>
      <xdr:col>25</xdr:col>
      <xdr:colOff>20889</xdr:colOff>
      <xdr:row>46</xdr:row>
      <xdr:rowOff>230214</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7"/>
        <a:stretch>
          <a:fillRect/>
        </a:stretch>
      </xdr:blipFill>
      <xdr:spPr>
        <a:xfrm>
          <a:off x="20545677" y="27876956"/>
          <a:ext cx="3630612" cy="909208"/>
        </a:xfrm>
        <a:prstGeom prst="rect">
          <a:avLst/>
        </a:prstGeom>
      </xdr:spPr>
    </xdr:pic>
    <xdr:clientData/>
  </xdr:twoCellAnchor>
  <xdr:twoCellAnchor editAs="oneCell">
    <xdr:from>
      <xdr:col>19</xdr:col>
      <xdr:colOff>182336</xdr:colOff>
      <xdr:row>60</xdr:row>
      <xdr:rowOff>7257</xdr:rowOff>
    </xdr:from>
    <xdr:to>
      <xdr:col>24</xdr:col>
      <xdr:colOff>483532</xdr:colOff>
      <xdr:row>63</xdr:row>
      <xdr:rowOff>164900</xdr:rowOff>
    </xdr:to>
    <xdr:pic>
      <xdr:nvPicPr>
        <xdr:cNvPr id="18" name="Picture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7"/>
        <a:stretch>
          <a:fillRect/>
        </a:stretch>
      </xdr:blipFill>
      <xdr:spPr>
        <a:xfrm>
          <a:off x="20603936" y="32906607"/>
          <a:ext cx="3428571" cy="840268"/>
        </a:xfrm>
        <a:prstGeom prst="rect">
          <a:avLst/>
        </a:prstGeom>
      </xdr:spPr>
    </xdr:pic>
    <xdr:clientData/>
  </xdr:twoCellAnchor>
  <xdr:twoCellAnchor editAs="oneCell">
    <xdr:from>
      <xdr:col>19</xdr:col>
      <xdr:colOff>174172</xdr:colOff>
      <xdr:row>76</xdr:row>
      <xdr:rowOff>193221</xdr:rowOff>
    </xdr:from>
    <xdr:to>
      <xdr:col>24</xdr:col>
      <xdr:colOff>475368</xdr:colOff>
      <xdr:row>80</xdr:row>
      <xdr:rowOff>134962</xdr:rowOff>
    </xdr:to>
    <xdr:pic>
      <xdr:nvPicPr>
        <xdr:cNvPr id="19" name="Picture 18">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17"/>
        <a:stretch>
          <a:fillRect/>
        </a:stretch>
      </xdr:blipFill>
      <xdr:spPr>
        <a:xfrm>
          <a:off x="20595772" y="40464921"/>
          <a:ext cx="3425396" cy="837090"/>
        </a:xfrm>
        <a:prstGeom prst="rect">
          <a:avLst/>
        </a:prstGeom>
      </xdr:spPr>
    </xdr:pic>
    <xdr:clientData/>
  </xdr:twoCellAnchor>
  <xdr:twoCellAnchor editAs="oneCell">
    <xdr:from>
      <xdr:col>19</xdr:col>
      <xdr:colOff>130629</xdr:colOff>
      <xdr:row>93</xdr:row>
      <xdr:rowOff>164193</xdr:rowOff>
    </xdr:from>
    <xdr:to>
      <xdr:col>24</xdr:col>
      <xdr:colOff>425475</xdr:colOff>
      <xdr:row>97</xdr:row>
      <xdr:rowOff>105936</xdr:rowOff>
    </xdr:to>
    <xdr:pic>
      <xdr:nvPicPr>
        <xdr:cNvPr id="20" name="Picture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7"/>
        <a:stretch>
          <a:fillRect/>
        </a:stretch>
      </xdr:blipFill>
      <xdr:spPr>
        <a:xfrm>
          <a:off x="20552229" y="48017793"/>
          <a:ext cx="3419046" cy="837093"/>
        </a:xfrm>
        <a:prstGeom prst="rect">
          <a:avLst/>
        </a:prstGeom>
      </xdr:spPr>
    </xdr:pic>
    <xdr:clientData/>
  </xdr:twoCellAnchor>
  <xdr:twoCellAnchor>
    <xdr:from>
      <xdr:col>14</xdr:col>
      <xdr:colOff>25587</xdr:colOff>
      <xdr:row>11</xdr:row>
      <xdr:rowOff>1602440</xdr:rowOff>
    </xdr:from>
    <xdr:to>
      <xdr:col>27</xdr:col>
      <xdr:colOff>180165</xdr:colOff>
      <xdr:row>15</xdr:row>
      <xdr:rowOff>593586</xdr:rowOff>
    </xdr:to>
    <xdr:graphicFrame macro="">
      <xdr:nvGraphicFramePr>
        <xdr:cNvPr id="2" name="Chart 9">
          <a:extLst>
            <a:ext uri="{FF2B5EF4-FFF2-40B4-BE49-F238E27FC236}">
              <a16:creationId xmlns:a16="http://schemas.microsoft.com/office/drawing/2014/main" id="{7795D97B-F115-4E95-838B-BDC4C3498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0.30742</cdr:x>
      <cdr:y>0.47609</cdr:y>
    </cdr:from>
    <cdr:to>
      <cdr:x>0.78443</cdr:x>
      <cdr:y>0.70792</cdr:y>
    </cdr:to>
    <cdr:sp macro="" textlink="Results!$AI$4">
      <cdr:nvSpPr>
        <cdr:cNvPr id="2" name="TextBox 1">
          <a:extLst xmlns:a="http://schemas.openxmlformats.org/drawingml/2006/main">
            <a:ext uri="{FF2B5EF4-FFF2-40B4-BE49-F238E27FC236}">
              <a16:creationId xmlns:a16="http://schemas.microsoft.com/office/drawing/2014/main" id="{5A701187-2FF1-82ED-FDAA-2432BC0F6B87}"/>
            </a:ext>
          </a:extLst>
        </cdr:cNvPr>
        <cdr:cNvSpPr txBox="1"/>
      </cdr:nvSpPr>
      <cdr:spPr>
        <a:xfrm xmlns:a="http://schemas.openxmlformats.org/drawingml/2006/main">
          <a:off x="557995" y="874624"/>
          <a:ext cx="865828" cy="4258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8C31369-1414-4814-94FA-A1DD41A8A01C}" type="TxLink">
            <a:rPr lang="en-US" sz="2000" b="1" i="0" u="none" strike="noStrike" kern="1200">
              <a:solidFill>
                <a:srgbClr val="000000"/>
              </a:solidFill>
              <a:latin typeface="Work Sans" pitchFamily="2" charset="0"/>
              <a:cs typeface="Arial"/>
            </a:rPr>
            <a:pPr/>
            <a:t>0/25</a:t>
          </a:fld>
          <a:endParaRPr lang="en-US" sz="2000" b="1" kern="1200">
            <a:latin typeface="Work Sans" pitchFamily="2"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0.29252</cdr:x>
      <cdr:y>0.48238</cdr:y>
    </cdr:from>
    <cdr:to>
      <cdr:x>0.80642</cdr:x>
      <cdr:y>0.69393</cdr:y>
    </cdr:to>
    <cdr:sp macro="" textlink="Results!$AI$5">
      <cdr:nvSpPr>
        <cdr:cNvPr id="2" name="TextBox 1">
          <a:extLst xmlns:a="http://schemas.openxmlformats.org/drawingml/2006/main">
            <a:ext uri="{FF2B5EF4-FFF2-40B4-BE49-F238E27FC236}">
              <a16:creationId xmlns:a16="http://schemas.microsoft.com/office/drawing/2014/main" id="{8B182FBD-3534-4C8E-6767-C7487B8E93B8}"/>
            </a:ext>
          </a:extLst>
        </cdr:cNvPr>
        <cdr:cNvSpPr txBox="1"/>
      </cdr:nvSpPr>
      <cdr:spPr>
        <a:xfrm xmlns:a="http://schemas.openxmlformats.org/drawingml/2006/main">
          <a:off x="532809" y="877171"/>
          <a:ext cx="936034" cy="3846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11C6C7F-7866-487F-9F3B-36871B3DBE1A}" type="TxLink">
            <a:rPr lang="en-US" sz="2000" b="1" i="0" u="none" strike="noStrike" kern="1200">
              <a:solidFill>
                <a:srgbClr val="000000"/>
              </a:solidFill>
              <a:latin typeface="Work Sans" pitchFamily="2" charset="0"/>
              <a:cs typeface="Arial"/>
            </a:rPr>
            <a:pPr/>
            <a:t>0/22</a:t>
          </a:fld>
          <a:endParaRPr lang="en-US" sz="2000" b="1" kern="1200">
            <a:latin typeface="Work Sans" pitchFamily="2"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0.3568</cdr:x>
      <cdr:y>0.46703</cdr:y>
    </cdr:from>
    <cdr:to>
      <cdr:x>0.72362</cdr:x>
      <cdr:y>0.67815</cdr:y>
    </cdr:to>
    <cdr:sp macro="" textlink="Results!$AI$7">
      <cdr:nvSpPr>
        <cdr:cNvPr id="3" name="TextBox 2">
          <a:extLst xmlns:a="http://schemas.openxmlformats.org/drawingml/2006/main">
            <a:ext uri="{FF2B5EF4-FFF2-40B4-BE49-F238E27FC236}">
              <a16:creationId xmlns:a16="http://schemas.microsoft.com/office/drawing/2014/main" id="{33083DAD-596E-5C39-6FB4-857C449F8376}"/>
            </a:ext>
          </a:extLst>
        </cdr:cNvPr>
        <cdr:cNvSpPr txBox="1"/>
      </cdr:nvSpPr>
      <cdr:spPr>
        <a:xfrm xmlns:a="http://schemas.openxmlformats.org/drawingml/2006/main">
          <a:off x="648759" y="847784"/>
          <a:ext cx="666970" cy="3832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A125733-F44C-4194-9120-A9AA2F7227C0}" type="TxLink">
            <a:rPr lang="en-US" sz="2000" b="1" i="0" u="none" strike="noStrike" kern="1200">
              <a:solidFill>
                <a:srgbClr val="000000"/>
              </a:solidFill>
              <a:latin typeface="Work Sans" pitchFamily="2" charset="0"/>
              <a:cs typeface="Arial"/>
            </a:rPr>
            <a:pPr/>
            <a:t>0/5</a:t>
          </a:fld>
          <a:endParaRPr lang="en-US" sz="2000" b="1" kern="1200">
            <a:latin typeface="Work Sans" pitchFamily="2"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0.34372</cdr:x>
      <cdr:y>0.47459</cdr:y>
    </cdr:from>
    <cdr:to>
      <cdr:x>0.77966</cdr:x>
      <cdr:y>0.64725</cdr:y>
    </cdr:to>
    <cdr:sp macro="" textlink="Results!$AI$8">
      <cdr:nvSpPr>
        <cdr:cNvPr id="2" name="TextBox 1">
          <a:extLst xmlns:a="http://schemas.openxmlformats.org/drawingml/2006/main">
            <a:ext uri="{FF2B5EF4-FFF2-40B4-BE49-F238E27FC236}">
              <a16:creationId xmlns:a16="http://schemas.microsoft.com/office/drawing/2014/main" id="{E44489A7-5269-6A14-D714-8A1674B8E8BC}"/>
            </a:ext>
          </a:extLst>
        </cdr:cNvPr>
        <cdr:cNvSpPr txBox="1"/>
      </cdr:nvSpPr>
      <cdr:spPr>
        <a:xfrm xmlns:a="http://schemas.openxmlformats.org/drawingml/2006/main">
          <a:off x="1247519" y="1723856"/>
          <a:ext cx="1582241" cy="6271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9FD63B7-4949-4379-8D48-4267ABBF28B9}" type="TxLink">
            <a:rPr lang="en-US" sz="3200" b="1" i="0" u="none" strike="noStrike" kern="1200">
              <a:solidFill>
                <a:srgbClr val="000000"/>
              </a:solidFill>
              <a:latin typeface="Work Sans" pitchFamily="2" charset="0"/>
              <a:cs typeface="Arial"/>
            </a:rPr>
            <a:pPr/>
            <a:t>0/100</a:t>
          </a:fld>
          <a:endParaRPr lang="en-US" sz="3200" b="1" kern="1200">
            <a:latin typeface="Work Sans" pitchFamily="2" charset="0"/>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40821</xdr:colOff>
      <xdr:row>0</xdr:row>
      <xdr:rowOff>0</xdr:rowOff>
    </xdr:from>
    <xdr:to>
      <xdr:col>1</xdr:col>
      <xdr:colOff>1211035</xdr:colOff>
      <xdr:row>1</xdr:row>
      <xdr:rowOff>22435</xdr:rowOff>
    </xdr:to>
    <xdr:pic>
      <xdr:nvPicPr>
        <xdr:cNvPr id="8" name="Picture 7" descr="File:DOE Seal Color.svg">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0"/>
          <a:ext cx="1170214" cy="1179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14219464</xdr:colOff>
      <xdr:row>0</xdr:row>
      <xdr:rowOff>0</xdr:rowOff>
    </xdr:from>
    <xdr:to>
      <xdr:col>5</xdr:col>
      <xdr:colOff>774368</xdr:colOff>
      <xdr:row>1</xdr:row>
      <xdr:rowOff>14775</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22492607" y="0"/>
          <a:ext cx="2801832" cy="11713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73025</xdr:colOff>
      <xdr:row>39</xdr:row>
      <xdr:rowOff>85725</xdr:rowOff>
    </xdr:from>
    <xdr:to>
      <xdr:col>10</xdr:col>
      <xdr:colOff>368853</xdr:colOff>
      <xdr:row>62</xdr:row>
      <xdr:rowOff>15875</xdr:rowOff>
    </xdr:to>
    <xdr:graphicFrame macro="">
      <xdr:nvGraphicFramePr>
        <xdr:cNvPr id="9"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58738</xdr:colOff>
      <xdr:row>37</xdr:row>
      <xdr:rowOff>150812</xdr:rowOff>
    </xdr:from>
    <xdr:to>
      <xdr:col>26</xdr:col>
      <xdr:colOff>58739</xdr:colOff>
      <xdr:row>60</xdr:row>
      <xdr:rowOff>84137</xdr:rowOff>
    </xdr:to>
    <xdr:grpSp>
      <xdr:nvGrpSpPr>
        <xdr:cNvPr id="13" name="Group 14">
          <a:extLst>
            <a:ext uri="{FF2B5EF4-FFF2-40B4-BE49-F238E27FC236}">
              <a16:creationId xmlns:a16="http://schemas.microsoft.com/office/drawing/2014/main" id="{00000000-0008-0000-1000-00000F000000}"/>
            </a:ext>
          </a:extLst>
        </xdr:cNvPr>
        <xdr:cNvGrpSpPr/>
      </xdr:nvGrpSpPr>
      <xdr:grpSpPr>
        <a:xfrm>
          <a:off x="14498638" y="6353492"/>
          <a:ext cx="9029701" cy="3789045"/>
          <a:chOff x="10755312" y="293687"/>
          <a:chExt cx="9140825" cy="3660775"/>
        </a:xfrm>
      </xdr:grpSpPr>
      <xdr:grpSp>
        <xdr:nvGrpSpPr>
          <xdr:cNvPr id="16" name="Group 11">
            <a:extLst>
              <a:ext uri="{FF2B5EF4-FFF2-40B4-BE49-F238E27FC236}">
                <a16:creationId xmlns:a16="http://schemas.microsoft.com/office/drawing/2014/main" id="{00000000-0008-0000-1000-00000C000000}"/>
              </a:ext>
            </a:extLst>
          </xdr:cNvPr>
          <xdr:cNvGrpSpPr/>
        </xdr:nvGrpSpPr>
        <xdr:grpSpPr>
          <a:xfrm>
            <a:off x="14409737" y="293687"/>
            <a:ext cx="5486400" cy="3660775"/>
            <a:chOff x="14409737" y="293687"/>
            <a:chExt cx="5486400" cy="3660775"/>
          </a:xfrm>
        </xdr:grpSpPr>
        <xdr:graphicFrame macro="">
          <xdr:nvGraphicFramePr>
            <xdr:cNvPr id="17" name="Chart 1">
              <a:extLst>
                <a:ext uri="{FF2B5EF4-FFF2-40B4-BE49-F238E27FC236}">
                  <a16:creationId xmlns:a16="http://schemas.microsoft.com/office/drawing/2014/main" id="{00000000-0008-0000-1000-000002000000}"/>
                </a:ext>
              </a:extLst>
            </xdr:cNvPr>
            <xdr:cNvGraphicFramePr/>
          </xdr:nvGraphicFramePr>
          <xdr:xfrm>
            <a:off x="16240126" y="2125662"/>
            <a:ext cx="1828800" cy="18288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8" name="Chart 2">
              <a:extLst>
                <a:ext uri="{FF2B5EF4-FFF2-40B4-BE49-F238E27FC236}">
                  <a16:creationId xmlns:a16="http://schemas.microsoft.com/office/drawing/2014/main" id="{00000000-0008-0000-1000-000003000000}"/>
                </a:ext>
              </a:extLst>
            </xdr:cNvPr>
            <xdr:cNvGraphicFramePr/>
          </xdr:nvGraphicFramePr>
          <xdr:xfrm>
            <a:off x="14409737" y="293687"/>
            <a:ext cx="1828800" cy="183197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9" name="Chart 5">
              <a:extLst>
                <a:ext uri="{FF2B5EF4-FFF2-40B4-BE49-F238E27FC236}">
                  <a16:creationId xmlns:a16="http://schemas.microsoft.com/office/drawing/2014/main" id="{00000000-0008-0000-1000-000006000000}"/>
                </a:ext>
              </a:extLst>
            </xdr:cNvPr>
            <xdr:cNvGraphicFramePr/>
          </xdr:nvGraphicFramePr>
          <xdr:xfrm>
            <a:off x="16241712" y="293687"/>
            <a:ext cx="1828800" cy="18288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0" name="Chart 6">
              <a:extLst>
                <a:ext uri="{FF2B5EF4-FFF2-40B4-BE49-F238E27FC236}">
                  <a16:creationId xmlns:a16="http://schemas.microsoft.com/office/drawing/2014/main" id="{00000000-0008-0000-1000-000007000000}"/>
                </a:ext>
              </a:extLst>
            </xdr:cNvPr>
            <xdr:cNvGraphicFramePr/>
          </xdr:nvGraphicFramePr>
          <xdr:xfrm>
            <a:off x="18070512" y="296862"/>
            <a:ext cx="1825625" cy="18288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1" name="Chart 9">
              <a:extLst>
                <a:ext uri="{FF2B5EF4-FFF2-40B4-BE49-F238E27FC236}">
                  <a16:creationId xmlns:a16="http://schemas.microsoft.com/office/drawing/2014/main" id="{00000000-0008-0000-1000-00000A000000}"/>
                </a:ext>
              </a:extLst>
            </xdr:cNvPr>
            <xdr:cNvGraphicFramePr/>
          </xdr:nvGraphicFramePr>
          <xdr:xfrm>
            <a:off x="14409737" y="2125662"/>
            <a:ext cx="1831975" cy="18288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2" name="Chart 10">
              <a:extLst>
                <a:ext uri="{FF2B5EF4-FFF2-40B4-BE49-F238E27FC236}">
                  <a16:creationId xmlns:a16="http://schemas.microsoft.com/office/drawing/2014/main" id="{00000000-0008-0000-1000-00000B000000}"/>
                </a:ext>
              </a:extLst>
            </xdr:cNvPr>
            <xdr:cNvGraphicFramePr/>
          </xdr:nvGraphicFramePr>
          <xdr:xfrm>
            <a:off x="18067337" y="2125662"/>
            <a:ext cx="1828800" cy="1825625"/>
          </xdr:xfrm>
          <a:graphic>
            <a:graphicData uri="http://schemas.openxmlformats.org/drawingml/2006/chart">
              <c:chart xmlns:c="http://schemas.openxmlformats.org/drawingml/2006/chart" xmlns:r="http://schemas.openxmlformats.org/officeDocument/2006/relationships" r:id="rId7"/>
            </a:graphicData>
          </a:graphic>
        </xdr:graphicFrame>
      </xdr:grpSp>
      <xdr:graphicFrame macro="">
        <xdr:nvGraphicFramePr>
          <xdr:cNvPr id="23" name="Chart 13">
            <a:extLst>
              <a:ext uri="{FF2B5EF4-FFF2-40B4-BE49-F238E27FC236}">
                <a16:creationId xmlns:a16="http://schemas.microsoft.com/office/drawing/2014/main" id="{00000000-0008-0000-1000-00000E000000}"/>
              </a:ext>
            </a:extLst>
          </xdr:cNvPr>
          <xdr:cNvGraphicFramePr/>
        </xdr:nvGraphicFramePr>
        <xdr:xfrm>
          <a:off x="10755312" y="293687"/>
          <a:ext cx="3657600" cy="3660775"/>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7pn\Downloads\ERP_Gap%20Tool_Final.xlsx" TargetMode="External"/><Relationship Id="rId1" Type="http://schemas.openxmlformats.org/officeDocument/2006/relationships/externalLinkPath" Target="ERP_Gap%20Too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Concept"/>
      <sheetName val="Instructions"/>
      <sheetName val="Company_Information"/>
      <sheetName val="Milestone_1"/>
      <sheetName val="Milestone_2"/>
      <sheetName val="Milestone_3"/>
      <sheetName val="Milestone_4"/>
      <sheetName val="Export_Result"/>
      <sheetName val="Milestone_5"/>
      <sheetName val="Feedback_List"/>
      <sheetName val="Ongoing_Implementation"/>
      <sheetName val="Results"/>
      <sheetName val="TechnologyPhasingCurve"/>
      <sheetName val="Resources"/>
      <sheetName val="DropdownORNamemanagerLists"/>
      <sheetName val="MilestoneGraphs_Calc"/>
      <sheetName val="Milestone_Results_Summary"/>
    </sheetNames>
    <sheetDataSet>
      <sheetData sheetId="0" refreshError="1"/>
      <sheetData sheetId="1" refreshError="1"/>
      <sheetData sheetId="2" refreshError="1"/>
      <sheetData sheetId="3" refreshError="1"/>
      <sheetData sheetId="4">
        <row r="97">
          <cell r="AM97">
            <v>2013</v>
          </cell>
          <cell r="AO97">
            <v>2050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C19">
            <v>2012</v>
          </cell>
          <cell r="D19">
            <v>2013</v>
          </cell>
          <cell r="E19">
            <v>2014</v>
          </cell>
          <cell r="F19">
            <v>2015</v>
          </cell>
          <cell r="G19">
            <v>2016</v>
          </cell>
          <cell r="H19">
            <v>2017</v>
          </cell>
          <cell r="I19">
            <v>2018</v>
          </cell>
          <cell r="J19">
            <v>2019</v>
          </cell>
          <cell r="K19">
            <v>2020</v>
          </cell>
          <cell r="L19">
            <v>2021</v>
          </cell>
          <cell r="M19">
            <v>2022</v>
          </cell>
          <cell r="N19">
            <v>2023</v>
          </cell>
          <cell r="O19">
            <v>2024</v>
          </cell>
          <cell r="P19">
            <v>2025</v>
          </cell>
          <cell r="Q19">
            <v>2026</v>
          </cell>
          <cell r="R19">
            <v>2027</v>
          </cell>
          <cell r="S19">
            <v>2028</v>
          </cell>
          <cell r="T19">
            <v>2029</v>
          </cell>
          <cell r="U19">
            <v>2030</v>
          </cell>
          <cell r="V19">
            <v>2031</v>
          </cell>
          <cell r="W19">
            <v>2032</v>
          </cell>
          <cell r="X19">
            <v>2033</v>
          </cell>
          <cell r="Y19">
            <v>2034</v>
          </cell>
          <cell r="Z19">
            <v>2035</v>
          </cell>
          <cell r="AA19">
            <v>2036</v>
          </cell>
          <cell r="AB19">
            <v>2037</v>
          </cell>
          <cell r="AC19">
            <v>2038</v>
          </cell>
          <cell r="AD19">
            <v>2039</v>
          </cell>
          <cell r="AE19">
            <v>2040</v>
          </cell>
          <cell r="AF19">
            <v>2041</v>
          </cell>
          <cell r="AG19">
            <v>2042</v>
          </cell>
          <cell r="AH19">
            <v>2043</v>
          </cell>
          <cell r="AI19">
            <v>2044</v>
          </cell>
          <cell r="AJ19">
            <v>2045</v>
          </cell>
          <cell r="AK19">
            <v>2046</v>
          </cell>
          <cell r="AL19">
            <v>2047</v>
          </cell>
          <cell r="AM19">
            <v>2048</v>
          </cell>
          <cell r="AN19">
            <v>2049</v>
          </cell>
          <cell r="AO19">
            <v>2050</v>
          </cell>
        </row>
        <row r="20">
          <cell r="C20">
            <v>1</v>
          </cell>
        </row>
        <row r="21">
          <cell r="C21">
            <v>0</v>
          </cell>
        </row>
        <row r="22">
          <cell r="C22">
            <v>0</v>
          </cell>
        </row>
        <row r="24">
          <cell r="C24">
            <v>0</v>
          </cell>
        </row>
        <row r="25">
          <cell r="C25">
            <v>0</v>
          </cell>
        </row>
        <row r="26">
          <cell r="C26">
            <v>0</v>
          </cell>
        </row>
        <row r="27">
          <cell r="C27">
            <v>0</v>
          </cell>
        </row>
        <row r="28">
          <cell r="C28">
            <v>0</v>
          </cell>
        </row>
      </sheetData>
      <sheetData sheetId="14" refreshError="1"/>
      <sheetData sheetId="15">
        <row r="3">
          <cell r="B3" t="str">
            <v>Decision Maker - Has ultimate accountability, makes final decisions, provides resources and manpower</v>
          </cell>
        </row>
        <row r="4">
          <cell r="B4" t="str">
            <v xml:space="preserve">Sponsor - Provides financing </v>
          </cell>
        </row>
        <row r="5">
          <cell r="B5" t="str">
            <v>Active partner - Dedicates significant time and resources, participates in regular planning meetings, provides consistent input and feedback</v>
          </cell>
        </row>
        <row r="6">
          <cell r="B6" t="str">
            <v>Regular Contributor- Attends scheduled meetings, provides expertise when requested, reviews and gives feedback on deliverables</v>
          </cell>
        </row>
        <row r="7">
          <cell r="B7" t="str">
            <v>Subject Matter Expert (SME) / Consultant- Provides specialized input when needed, available for specific questions, participates in relevant technical discussions</v>
          </cell>
        </row>
        <row r="8">
          <cell r="B8" t="str">
            <v>Informed Participant- Keeps updated on progress, provides occasional input, attends key milestone meetings</v>
          </cell>
        </row>
        <row r="9">
          <cell r="B9" t="str">
            <v>Observer / Interested Party- Receives updates and communications, no direct involvement, minimal time commitment</v>
          </cell>
        </row>
        <row r="10">
          <cell r="B10" t="str">
            <v>Not involved in ERP development</v>
          </cell>
        </row>
        <row r="20">
          <cell r="B20" t="str">
            <v>Alumina And Aluminum</v>
          </cell>
        </row>
        <row r="21">
          <cell r="B21" t="str">
            <v>Cements</v>
          </cell>
        </row>
        <row r="22">
          <cell r="B22" t="str">
            <v>Chemicals</v>
          </cell>
        </row>
        <row r="23">
          <cell r="B23" t="str">
            <v>Computer And Electronic Products</v>
          </cell>
        </row>
        <row r="24">
          <cell r="B24" t="str">
            <v>Fabricated Metal Products</v>
          </cell>
        </row>
        <row r="25">
          <cell r="B25" t="str">
            <v>Food</v>
          </cell>
        </row>
        <row r="26">
          <cell r="B26" t="str">
            <v>Foundries</v>
          </cell>
        </row>
        <row r="27">
          <cell r="B27" t="str">
            <v>Glass Products From Purchased Glass</v>
          </cell>
        </row>
        <row r="28">
          <cell r="B28" t="str">
            <v>Iron And Steel Mills And Ferroalloys</v>
          </cell>
        </row>
        <row r="29">
          <cell r="B29" t="str">
            <v>Iron Foundries</v>
          </cell>
        </row>
        <row r="30">
          <cell r="B30" t="str">
            <v>Dairy Products</v>
          </cell>
        </row>
        <row r="31">
          <cell r="B31" t="str">
            <v>Miscellaneous</v>
          </cell>
        </row>
        <row r="32">
          <cell r="B32" t="str">
            <v>Nonferrous Metal (Except Aluminum) Smelting And Refining</v>
          </cell>
        </row>
        <row r="33">
          <cell r="B33" t="str">
            <v>Nonferrous Metal Die-Casting Foundries</v>
          </cell>
        </row>
        <row r="34">
          <cell r="B34" t="str">
            <v>Nonferrous Metals, Except Aluminum</v>
          </cell>
        </row>
        <row r="35">
          <cell r="B35" t="str">
            <v>Nonmetallic Mineral Products</v>
          </cell>
        </row>
        <row r="36">
          <cell r="B36" t="str">
            <v>Other Aluminum Rolling, Drawing And Extruding</v>
          </cell>
        </row>
        <row r="37">
          <cell r="B37" t="str">
            <v>Other Basic Inorganic Chemicals</v>
          </cell>
        </row>
        <row r="38">
          <cell r="B38" t="str">
            <v>Other Basic Organic Chemicals</v>
          </cell>
        </row>
        <row r="39">
          <cell r="B39" t="str">
            <v>Other Petroleum And Coal Products</v>
          </cell>
        </row>
        <row r="40">
          <cell r="B40" t="str">
            <v>Other Pressed And Blown Glass And Glassware</v>
          </cell>
        </row>
        <row r="41">
          <cell r="B41" t="str">
            <v>Paper</v>
          </cell>
        </row>
        <row r="42">
          <cell r="B42" t="str">
            <v>Paper Mills, Except Newsprint</v>
          </cell>
        </row>
        <row r="43">
          <cell r="B43" t="str">
            <v>Petrochemicals</v>
          </cell>
        </row>
        <row r="44">
          <cell r="B44" t="str">
            <v>Petroleum And Coal Products</v>
          </cell>
        </row>
        <row r="45">
          <cell r="B45" t="str">
            <v>Petroleum Refineries</v>
          </cell>
        </row>
        <row r="46">
          <cell r="B46" t="str">
            <v>Pharmaceutical Preparation</v>
          </cell>
        </row>
        <row r="47">
          <cell r="B47" t="str">
            <v>Pharmaceuticals And Medicines</v>
          </cell>
        </row>
        <row r="48">
          <cell r="B48" t="str">
            <v>Plastics And Rubber Products</v>
          </cell>
        </row>
        <row r="49">
          <cell r="B49" t="str">
            <v>Plastics Materials And Resins</v>
          </cell>
        </row>
        <row r="50">
          <cell r="B50" t="str">
            <v>Primary Metals</v>
          </cell>
        </row>
        <row r="51">
          <cell r="B51" t="str">
            <v>Pulp Mills</v>
          </cell>
        </row>
        <row r="52">
          <cell r="B52" t="str">
            <v>Secondary Smelting And Alloying Of Aluminum</v>
          </cell>
        </row>
        <row r="53">
          <cell r="B53" t="str">
            <v>Semiconductors And Related Devices</v>
          </cell>
        </row>
        <row r="54">
          <cell r="B54" t="str">
            <v>Steel Products From Purchased Steel</v>
          </cell>
        </row>
        <row r="55">
          <cell r="B55" t="str">
            <v>Textile Mills</v>
          </cell>
        </row>
        <row r="56">
          <cell r="B56" t="str">
            <v>Textile Product Mills</v>
          </cell>
        </row>
        <row r="57">
          <cell r="B57" t="str">
            <v>Tobacco</v>
          </cell>
        </row>
        <row r="58">
          <cell r="B58" t="str">
            <v>Transportation Equipment</v>
          </cell>
        </row>
        <row r="62">
          <cell r="B62">
            <v>2012</v>
          </cell>
          <cell r="C62">
            <v>2013</v>
          </cell>
        </row>
        <row r="63">
          <cell r="B63">
            <v>2013</v>
          </cell>
          <cell r="C63">
            <v>2014</v>
          </cell>
        </row>
        <row r="64">
          <cell r="B64">
            <v>2014</v>
          </cell>
          <cell r="C64">
            <v>2015</v>
          </cell>
        </row>
        <row r="65">
          <cell r="B65">
            <v>2015</v>
          </cell>
          <cell r="C65">
            <v>2016</v>
          </cell>
        </row>
        <row r="66">
          <cell r="B66">
            <v>2016</v>
          </cell>
          <cell r="C66">
            <v>2017</v>
          </cell>
        </row>
        <row r="67">
          <cell r="B67">
            <v>2017</v>
          </cell>
          <cell r="C67">
            <v>2018</v>
          </cell>
        </row>
        <row r="68">
          <cell r="B68">
            <v>2018</v>
          </cell>
          <cell r="C68">
            <v>2019</v>
          </cell>
        </row>
        <row r="69">
          <cell r="B69">
            <v>2019</v>
          </cell>
          <cell r="C69">
            <v>2020</v>
          </cell>
        </row>
        <row r="70">
          <cell r="B70">
            <v>2020</v>
          </cell>
          <cell r="C70">
            <v>2021</v>
          </cell>
        </row>
        <row r="71">
          <cell r="B71">
            <v>2021</v>
          </cell>
          <cell r="C71">
            <v>2022</v>
          </cell>
        </row>
        <row r="72">
          <cell r="B72">
            <v>2022</v>
          </cell>
          <cell r="C72">
            <v>2023</v>
          </cell>
        </row>
        <row r="73">
          <cell r="B73">
            <v>2023</v>
          </cell>
          <cell r="C73">
            <v>2024</v>
          </cell>
        </row>
        <row r="74">
          <cell r="B74">
            <v>2024</v>
          </cell>
          <cell r="C74">
            <v>2025</v>
          </cell>
        </row>
        <row r="75">
          <cell r="B75">
            <v>2025</v>
          </cell>
          <cell r="C75">
            <v>2026</v>
          </cell>
        </row>
        <row r="76">
          <cell r="B76">
            <v>2026</v>
          </cell>
          <cell r="C76">
            <v>2027</v>
          </cell>
        </row>
        <row r="77">
          <cell r="B77">
            <v>2027</v>
          </cell>
          <cell r="C77">
            <v>2028</v>
          </cell>
        </row>
        <row r="78">
          <cell r="B78">
            <v>2028</v>
          </cell>
          <cell r="C78">
            <v>2029</v>
          </cell>
        </row>
        <row r="79">
          <cell r="B79">
            <v>2029</v>
          </cell>
          <cell r="C79">
            <v>2030</v>
          </cell>
        </row>
        <row r="80">
          <cell r="B80">
            <v>2030</v>
          </cell>
          <cell r="C80">
            <v>2031</v>
          </cell>
        </row>
        <row r="81">
          <cell r="B81">
            <v>2031</v>
          </cell>
          <cell r="C81">
            <v>2032</v>
          </cell>
        </row>
        <row r="82">
          <cell r="B82">
            <v>2032</v>
          </cell>
          <cell r="C82">
            <v>2033</v>
          </cell>
        </row>
        <row r="83">
          <cell r="B83">
            <v>2033</v>
          </cell>
          <cell r="C83">
            <v>2034</v>
          </cell>
        </row>
        <row r="84">
          <cell r="B84">
            <v>2034</v>
          </cell>
          <cell r="C84">
            <v>2035</v>
          </cell>
        </row>
        <row r="85">
          <cell r="B85">
            <v>2035</v>
          </cell>
          <cell r="C85">
            <v>2036</v>
          </cell>
        </row>
        <row r="86">
          <cell r="B86">
            <v>2036</v>
          </cell>
          <cell r="C86">
            <v>2037</v>
          </cell>
        </row>
        <row r="87">
          <cell r="B87">
            <v>2037</v>
          </cell>
          <cell r="C87">
            <v>2038</v>
          </cell>
        </row>
        <row r="88">
          <cell r="B88">
            <v>2038</v>
          </cell>
          <cell r="C88">
            <v>2039</v>
          </cell>
        </row>
        <row r="89">
          <cell r="B89">
            <v>2039</v>
          </cell>
          <cell r="C89">
            <v>2040</v>
          </cell>
        </row>
        <row r="90">
          <cell r="B90">
            <v>2040</v>
          </cell>
          <cell r="C90">
            <v>2041</v>
          </cell>
        </row>
        <row r="91">
          <cell r="B91">
            <v>2041</v>
          </cell>
          <cell r="C91">
            <v>2042</v>
          </cell>
        </row>
        <row r="92">
          <cell r="B92">
            <v>2042</v>
          </cell>
          <cell r="C92">
            <v>2043</v>
          </cell>
        </row>
        <row r="93">
          <cell r="B93">
            <v>2043</v>
          </cell>
          <cell r="C93">
            <v>2044</v>
          </cell>
        </row>
        <row r="94">
          <cell r="B94">
            <v>2044</v>
          </cell>
          <cell r="C94">
            <v>2045</v>
          </cell>
        </row>
        <row r="95">
          <cell r="B95">
            <v>2045</v>
          </cell>
          <cell r="C95">
            <v>2046</v>
          </cell>
        </row>
        <row r="96">
          <cell r="B96">
            <v>2046</v>
          </cell>
          <cell r="C96">
            <v>2047</v>
          </cell>
        </row>
        <row r="97">
          <cell r="B97">
            <v>2047</v>
          </cell>
          <cell r="C97">
            <v>2048</v>
          </cell>
        </row>
        <row r="98">
          <cell r="B98">
            <v>2048</v>
          </cell>
          <cell r="C98">
            <v>2049</v>
          </cell>
        </row>
        <row r="99">
          <cell r="B99">
            <v>2049</v>
          </cell>
          <cell r="C99">
            <v>2050</v>
          </cell>
        </row>
      </sheetData>
      <sheetData sheetId="16" refreshError="1"/>
      <sheetData sheetId="17"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web.archive.org/web/20250411173034/https:/betterbuildingssolutioncenter.energy.gov/sites/default/files/attachments/Demand%20Response%20in%20Industrial%20Manufacturing_Final%20V2.pdf" TargetMode="External"/><Relationship Id="rId21" Type="http://schemas.openxmlformats.org/officeDocument/2006/relationships/hyperlink" Target="https://liftoff.energy.gov/" TargetMode="External"/><Relationship Id="rId42" Type="http://schemas.openxmlformats.org/officeDocument/2006/relationships/hyperlink" Target="https://afdc.energy.gov/" TargetMode="External"/><Relationship Id="rId63" Type="http://schemas.openxmlformats.org/officeDocument/2006/relationships/hyperlink" Target="https://liftoff.energy.gov/clean-hydrogen/" TargetMode="External"/><Relationship Id="rId84" Type="http://schemas.openxmlformats.org/officeDocument/2006/relationships/hyperlink" Target="https://betterbuildingssolutioncenter.energy.gov/better-plants/partner-recognition" TargetMode="External"/><Relationship Id="rId138" Type="http://schemas.openxmlformats.org/officeDocument/2006/relationships/drawing" Target="../drawings/drawing10.xml"/><Relationship Id="rId16" Type="http://schemas.openxmlformats.org/officeDocument/2006/relationships/hyperlink" Target="https://sciencebasedtargets.org/resources/files/Supplier-Engagement-Guidance.pdf" TargetMode="External"/><Relationship Id="rId107" Type="http://schemas.openxmlformats.org/officeDocument/2006/relationships/hyperlink" Target="https://web.archive.org/web/20250411171302/https:/www.renewablethermal.org/case-study-webinar-recording-astrazeneca-amp-vanguard-renewables-u-s-rng-agreement/" TargetMode="External"/><Relationship Id="rId11" Type="http://schemas.openxmlformats.org/officeDocument/2006/relationships/hyperlink" Target="https://sciencebasedtargets.org/net-zero" TargetMode="External"/><Relationship Id="rId32" Type="http://schemas.openxmlformats.org/officeDocument/2006/relationships/hyperlink" Target="https://betterbuildingssolutioncenter.energy.gov/resources/electrification-working-group" TargetMode="External"/><Relationship Id="rId37" Type="http://schemas.openxmlformats.org/officeDocument/2006/relationships/hyperlink" Target="https://www.epa.gov/sites/default/files/2021-02/documents/transitioning_to_low-gwp_alternatives_in_res_and_com_ac_chillers.pdf" TargetMode="External"/><Relationship Id="rId53" Type="http://schemas.openxmlformats.org/officeDocument/2006/relationships/hyperlink" Target="https://www.epa.gov/sites/default/files/2020-12/documents/electricityemissions.pdf" TargetMode="External"/><Relationship Id="rId58" Type="http://schemas.openxmlformats.org/officeDocument/2006/relationships/hyperlink" Target="https://kpmg.com/kpmg-us/content/dam/kpmg/pdf/2023/how-to-get-internal-carbon-pricing-right.pdf" TargetMode="External"/><Relationship Id="rId74" Type="http://schemas.openxmlformats.org/officeDocument/2006/relationships/hyperlink" Target="https://betterbuildingssolutioncenter.energy.gov/implementation-models/nissan-north-america-funds-energy-efficiency-projects-modified-payback" TargetMode="External"/><Relationship Id="rId79" Type="http://schemas.openxmlformats.org/officeDocument/2006/relationships/hyperlink" Target="https://www.cov.com/-/media/files/corporate/sustainability-toolkit/sustainability-toolkit-corporate-strategy-for-sustainable-energy-procurement.pdf" TargetMode="External"/><Relationship Id="rId102" Type="http://schemas.openxmlformats.org/officeDocument/2006/relationships/hyperlink" Target="https://web.archive.org/web/20250411165959/https:/betterbuildingssolutioncenter.energy.gov/efficiency/energy-efficiency/tech" TargetMode="External"/><Relationship Id="rId123" Type="http://schemas.openxmlformats.org/officeDocument/2006/relationships/hyperlink" Target="https://web.archive.org/web/20250411174248/https:/kpmg.com/kpmg-us/content/dam/kpmg/pdf/2023/how-to-get-internal-carbon-pricing-right.pdf" TargetMode="External"/><Relationship Id="rId128" Type="http://schemas.openxmlformats.org/officeDocument/2006/relationships/hyperlink" Target="https://web.archive.org/web/20250411174913/https:/www.icmagroup.org/assets/documents/Sustainable-finance/2022-updates/Green-Bond-Principles-June-2022-060623.pdf" TargetMode="External"/><Relationship Id="rId5" Type="http://schemas.openxmlformats.org/officeDocument/2006/relationships/hyperlink" Target="https://www.epa.gov/sites/default/files/2020-12/documents/stationaryemissions.pdf" TargetMode="External"/><Relationship Id="rId90" Type="http://schemas.openxmlformats.org/officeDocument/2006/relationships/hyperlink" Target="https://web.archive.org/web/20250411163350/https:/www.epa.gov/sites/default/files/2020-12/documents/fugitiveemissions.pdf" TargetMode="External"/><Relationship Id="rId95" Type="http://schemas.openxmlformats.org/officeDocument/2006/relationships/hyperlink" Target="https://web.archive.org/web/20250411163954/https:/www.there100.org/technical-guidance" TargetMode="External"/><Relationship Id="rId22" Type="http://schemas.openxmlformats.org/officeDocument/2006/relationships/hyperlink" Target="https://betterbuildingssolutioncenter.energy.gov/efficiency/energy-efficiency/tech" TargetMode="External"/><Relationship Id="rId27" Type="http://schemas.openxmlformats.org/officeDocument/2006/relationships/hyperlink" Target="https://liftoff.energy.gov/" TargetMode="External"/><Relationship Id="rId43" Type="http://schemas.openxmlformats.org/officeDocument/2006/relationships/hyperlink" Target="https://betterbuildingssolutioncenter.energy.gov/sites/default/files/attachments/Demand%20Response%20in%20Industrial%20Manufacturing_Final%20V2.pdf" TargetMode="External"/><Relationship Id="rId48" Type="http://schemas.openxmlformats.org/officeDocument/2006/relationships/hyperlink" Target="https://www.accountingforsustainability.org/content/dam/a4s/corporate/home/KnowledgeHub/Guide-pdf/A4S%20Guide%20to%20TCFD%20Climate%20Scenario%20Analysis.pdf.downloadasset.pdf" TargetMode="External"/><Relationship Id="rId64" Type="http://schemas.openxmlformats.org/officeDocument/2006/relationships/hyperlink" Target="https://help.cdp.net/en-us/knowledgebase/article/KA-01025" TargetMode="External"/><Relationship Id="rId69" Type="http://schemas.openxmlformats.org/officeDocument/2006/relationships/hyperlink" Target="https://betterbuildingssolutioncenter.energy.gov/financing-navigator/allies" TargetMode="External"/><Relationship Id="rId113" Type="http://schemas.openxmlformats.org/officeDocument/2006/relationships/hyperlink" Target="https://web.archive.org/web/20250411172401/https:/betterbuildingssolutioncenter.energy.gov/better%20plants/better-plants-resource-library" TargetMode="External"/><Relationship Id="rId118" Type="http://schemas.openxmlformats.org/officeDocument/2006/relationships/hyperlink" Target="https://web.archive.org/web/20250411173054/https:/betterbuildingssolutioncenter.energy.gov/onsite-energy/chp-deployment-resources" TargetMode="External"/><Relationship Id="rId134" Type="http://schemas.openxmlformats.org/officeDocument/2006/relationships/hyperlink" Target="https://web.archive.org/web/20250411175903/https:/www.nrel.gov/docs/fy25osti/92410.pdf" TargetMode="External"/><Relationship Id="rId80" Type="http://schemas.openxmlformats.org/officeDocument/2006/relationships/hyperlink" Target="https://www.cov.com/-/media/files/corporate/sustainability-toolkit/sustainability-toolkit-corporate-strategy-for-sustainable-energy-procurement.pdf" TargetMode="External"/><Relationship Id="rId85" Type="http://schemas.openxmlformats.org/officeDocument/2006/relationships/hyperlink" Target="https://www.energystar.gov/industrial_plants/earn-recognition/plant-certification" TargetMode="External"/><Relationship Id="rId12" Type="http://schemas.openxmlformats.org/officeDocument/2006/relationships/hyperlink" Target="https://betterbuildingssolutioncenter.energy.gov/sites/default/files/attachments/Energy%20Intensity%20Baselining%20and%20Tracking%20Guidance%202020.pdf" TargetMode="External"/><Relationship Id="rId17" Type="http://schemas.openxmlformats.org/officeDocument/2006/relationships/hyperlink" Target="https://www1.eere.energy.gov/manufacturing/eguide/iso_step_2_5.html" TargetMode="External"/><Relationship Id="rId33" Type="http://schemas.openxmlformats.org/officeDocument/2006/relationships/hyperlink" Target="https://betterbuildingssolutioncenter.energy.gov/sites/default/files/2024-04/2024Summit-15toPhasedown_ReplacingHFCs_Refrigerants-Slides.pdf" TargetMode="External"/><Relationship Id="rId38" Type="http://schemas.openxmlformats.org/officeDocument/2006/relationships/hyperlink" Target="https://betterbuildingssolutioncenter.energy.gov/sites/default/files/2024-04/2024Summit-15toPhasedown_ReplacingHFCs_Refrigerants-Slides.pdf" TargetMode="External"/><Relationship Id="rId59" Type="http://schemas.openxmlformats.org/officeDocument/2006/relationships/hyperlink" Target="https://kpmg.com/kpmg-us/content/dam/kpmg/pdf/2023/how-to-get-internal-carbon-pricing-right.pdf" TargetMode="External"/><Relationship Id="rId103" Type="http://schemas.openxmlformats.org/officeDocument/2006/relationships/hyperlink" Target="https://web.archive.org/web/20250411170626/https:/betterbuildingssolutioncenter.energy.gov/efficiency/electrification" TargetMode="External"/><Relationship Id="rId108" Type="http://schemas.openxmlformats.org/officeDocument/2006/relationships/hyperlink" Target="https://web.archive.org/web/20250411171637/https:/www.iea.org/energy-system/carbon-capture-utilisation-and-storage" TargetMode="External"/><Relationship Id="rId124" Type="http://schemas.openxmlformats.org/officeDocument/2006/relationships/hyperlink" Target="https://web.archive.org/web/20250411174311/https:/betterbuildingssolutioncenter.energy.gov/implementation-models/nissan-north-america-funds-energy-efficiency-projects-modified-payback" TargetMode="External"/><Relationship Id="rId129" Type="http://schemas.openxmlformats.org/officeDocument/2006/relationships/hyperlink" Target="https://web.archive.org/web/20250411175334/https:/betterbuildingssolutioncenter.energy.gov/implementation-models/electrolux-group-driving-climate-action-through-green-financing-framework-and" TargetMode="External"/><Relationship Id="rId54" Type="http://schemas.openxmlformats.org/officeDocument/2006/relationships/hyperlink" Target="https://www.sustainability.com/globalassets/sustainability.com/thinking/pdfs/sa-common-threads-full-report.pdf" TargetMode="External"/><Relationship Id="rId70" Type="http://schemas.openxmlformats.org/officeDocument/2006/relationships/hyperlink" Target="https://betterbuildingssolutioncenter.energy.gov/implementation-models/general-motors-energy-and-carbon-optimization-toolbox" TargetMode="External"/><Relationship Id="rId75" Type="http://schemas.openxmlformats.org/officeDocument/2006/relationships/hyperlink" Target="https://kpmg.com/kpmg-us/content/dam/kpmg/pdf/2023/how-to-get-internal-carbon-pricing-right.pdf" TargetMode="External"/><Relationship Id="rId91" Type="http://schemas.openxmlformats.org/officeDocument/2006/relationships/hyperlink" Target="https://web.archive.org/web/20250411163335/https:/www.epa.gov/sites/default/files/2020-12/documents/mobileemissions.pdf" TargetMode="External"/><Relationship Id="rId96" Type="http://schemas.openxmlformats.org/officeDocument/2006/relationships/hyperlink" Target="https://betterbuildingssolutioncenter.energy.gov/sites/default/files/attachments/Energy%20Intensity%20Baselining%20and%20Tracking%20Guidance%202020.pdf" TargetMode="External"/><Relationship Id="rId1" Type="http://schemas.openxmlformats.org/officeDocument/2006/relationships/hyperlink" Target="https://www.epa.gov/sites/default/files/2020-12/documents/stationaryemissions.pdf" TargetMode="External"/><Relationship Id="rId6" Type="http://schemas.openxmlformats.org/officeDocument/2006/relationships/hyperlink" Target="https://www.epa.gov/sites/default/files/2020-12/documents/fugitiveemissions.pdf" TargetMode="External"/><Relationship Id="rId23" Type="http://schemas.openxmlformats.org/officeDocument/2006/relationships/hyperlink" Target="https://betterbuildingssolutioncenter.energy.gov/efficiency/electrification" TargetMode="External"/><Relationship Id="rId28" Type="http://schemas.openxmlformats.org/officeDocument/2006/relationships/hyperlink" Target="https://betterbuildingssolutioncenter.energy.gov/better-plants/better-plants-trainings" TargetMode="External"/><Relationship Id="rId49" Type="http://schemas.openxmlformats.org/officeDocument/2006/relationships/hyperlink" Target="https://www.fsb-tcfd.org/recommendations/" TargetMode="External"/><Relationship Id="rId114" Type="http://schemas.openxmlformats.org/officeDocument/2006/relationships/hyperlink" Target="https://web.archive.org/web/20250411172540/https:/betterbuildingssolutioncenter.energy.gov/implementation-models/general-motors-energy-and-carbon-optimization-toolbox" TargetMode="External"/><Relationship Id="rId119" Type="http://schemas.openxmlformats.org/officeDocument/2006/relationships/hyperlink" Target="https://web.archive.org/web/20250411173323/https:/www.energy.gov/sites/default/files/2022-09/Industrial%20Decarbonization%20Roadmap.pdf" TargetMode="External"/><Relationship Id="rId44" Type="http://schemas.openxmlformats.org/officeDocument/2006/relationships/hyperlink" Target="https://betterbuildingssolutioncenter.energy.gov/industrial-technology-validation-program" TargetMode="External"/><Relationship Id="rId60" Type="http://schemas.openxmlformats.org/officeDocument/2006/relationships/hyperlink" Target="https://betterbuildingssolutioncenter.energy.gov/financing-navigator/primer/industrial-energy-financing-primer" TargetMode="External"/><Relationship Id="rId65" Type="http://schemas.openxmlformats.org/officeDocument/2006/relationships/hyperlink" Target="https://www.edf.org/sites/default/files/documents/MACC_2.0%20report_Evolved_EDF.pdf" TargetMode="External"/><Relationship Id="rId81" Type="http://schemas.openxmlformats.org/officeDocument/2006/relationships/hyperlink" Target="https://www.icmagroup.org/assets/documents/Sustainable-finance/2022-updates/Green-Bond-Principles-June-2022-060623.pdf" TargetMode="External"/><Relationship Id="rId86" Type="http://schemas.openxmlformats.org/officeDocument/2006/relationships/hyperlink" Target="https://web.archive.org/web/20250411160651/https:/www.sustainability.com/globalassets/sustainability.com/thinking/pdfs/sa-common-threads-full-report.pdf" TargetMode="External"/><Relationship Id="rId130" Type="http://schemas.openxmlformats.org/officeDocument/2006/relationships/hyperlink" Target="https://web.archive.org/web/20250411175342/https:/betterbuildingssolutioncenter.energy.gov/better-plants/partner-recognition" TargetMode="External"/><Relationship Id="rId135" Type="http://schemas.openxmlformats.org/officeDocument/2006/relationships/hyperlink" Target="https://web.archive.org/web/20250411180252/https:/help.cdp.net/en-us/knowledgebase/article/KA-01025" TargetMode="External"/><Relationship Id="rId13" Type="http://schemas.openxmlformats.org/officeDocument/2006/relationships/hyperlink" Target="https://sciencebasedtargets.org/resources/files/Supplier-Engagement-Guidance.pdf" TargetMode="External"/><Relationship Id="rId18" Type="http://schemas.openxmlformats.org/officeDocument/2006/relationships/hyperlink" Target="https://www.energystar.gov/buildings/tools-and-resources/benchmarking-industrial-energy-performance" TargetMode="External"/><Relationship Id="rId39" Type="http://schemas.openxmlformats.org/officeDocument/2006/relationships/hyperlink" Target="https://betterbuildingssolutioncenter.energy.gov/sites/default/files/attachments/PortfolioPrioritization_Onsite.pdf" TargetMode="External"/><Relationship Id="rId109" Type="http://schemas.openxmlformats.org/officeDocument/2006/relationships/hyperlink" Target="https://web.archive.org/web/20250411171710/https:/www.epa.gov/sites/default/files/2021-02/documents/transitioning_to_low-gwp_alternatives_in_res_and_com_ac_chillers.pdf" TargetMode="External"/><Relationship Id="rId34" Type="http://schemas.openxmlformats.org/officeDocument/2006/relationships/hyperlink" Target="https://betterbuildingssolutioncenter.energy.gov/sites/default/files/tools/4519539_RTX%20Energy%20BMP%20Guidebook_Interactive_10-2022.pdf" TargetMode="External"/><Relationship Id="rId50" Type="http://schemas.openxmlformats.org/officeDocument/2006/relationships/hyperlink" Target="https://www.energy.gov/sites/default/files/2022-09/Industrial%20Decarbonization%20Roadmap.pdf" TargetMode="External"/><Relationship Id="rId55" Type="http://schemas.openxmlformats.org/officeDocument/2006/relationships/hyperlink" Target="https://www.sustainability.com/globalassets/sustainability.com/thinking/pdfs/sa-common-threads-full-report.pdf" TargetMode="External"/><Relationship Id="rId76" Type="http://schemas.openxmlformats.org/officeDocument/2006/relationships/hyperlink" Target="https://betterbuildingssolutioncenter.energy.gov/implementation-models/energy-champions-all-plants" TargetMode="External"/><Relationship Id="rId97" Type="http://schemas.openxmlformats.org/officeDocument/2006/relationships/hyperlink" Target="https://web.archive.org/web/20250411164558/https:/sciencebasedtargets.org/resources/files/Supplier-Engagement-Guidance.pdf" TargetMode="External"/><Relationship Id="rId104" Type="http://schemas.openxmlformats.org/officeDocument/2006/relationships/hyperlink" Target="https://web.archive.org/web/20250411180657/https:/betterbuildingssolutioncenter.energy.gov/sites/default/files/attachments/Electrification%20Planning%20Working%20Group.pdf" TargetMode="External"/><Relationship Id="rId120" Type="http://schemas.openxmlformats.org/officeDocument/2006/relationships/hyperlink" Target="https://web.archive.org/web/20250411173512/https:/betterbuildingssolutioncenter.energy.gov/industrial-technology-validation-program" TargetMode="External"/><Relationship Id="rId125" Type="http://schemas.openxmlformats.org/officeDocument/2006/relationships/hyperlink" Target="https://web.archive.org/web/20250411174549/https:/betterbuildingssolutioncenter.energy.gov/implementation-models/energy-champions-all-plants" TargetMode="External"/><Relationship Id="rId7" Type="http://schemas.openxmlformats.org/officeDocument/2006/relationships/hyperlink" Target="https://www.epa.gov/sites/default/files/2020-12/documents/mobileemissions.pdf" TargetMode="External"/><Relationship Id="rId71" Type="http://schemas.openxmlformats.org/officeDocument/2006/relationships/hyperlink" Target="https://bptraining.ornl.gov/" TargetMode="External"/><Relationship Id="rId92" Type="http://schemas.openxmlformats.org/officeDocument/2006/relationships/hyperlink" Target="https://web.archive.org/web/20250411163505/https:/www.epa.gov/sites/default/files/2020-12/documents/electricityemissions.pdf" TargetMode="External"/><Relationship Id="rId2" Type="http://schemas.openxmlformats.org/officeDocument/2006/relationships/hyperlink" Target="https://www.epa.gov/sites/default/files/2020-12/documents/mobileemissions.pdf" TargetMode="External"/><Relationship Id="rId29" Type="http://schemas.openxmlformats.org/officeDocument/2006/relationships/hyperlink" Target="https://www.epa.gov/sites/default/files/2021-02/documents/transitioning_to_low-gwp_alternatives_in_res_and_com_ac_chillers.pdf" TargetMode="External"/><Relationship Id="rId24" Type="http://schemas.openxmlformats.org/officeDocument/2006/relationships/hyperlink" Target="https://betterbuildingssolutioncenter.energy.gov/sites/default/files/Low%20Emissions%20Alt%20Fact%20Sheet.pdf" TargetMode="External"/><Relationship Id="rId40" Type="http://schemas.openxmlformats.org/officeDocument/2006/relationships/hyperlink" Target="https://betterbuildingssolutioncenter.energy.gov/better%20plants/better-plants-resource-library" TargetMode="External"/><Relationship Id="rId45" Type="http://schemas.openxmlformats.org/officeDocument/2006/relationships/hyperlink" Target="https://betterbuildingssolutioncenter.energy.gov/onsite-energy/chp-deployment-resources" TargetMode="External"/><Relationship Id="rId66" Type="http://schemas.openxmlformats.org/officeDocument/2006/relationships/hyperlink" Target="https://www.nrel.gov/docs/fy25osti/92410.pdf" TargetMode="External"/><Relationship Id="rId87" Type="http://schemas.openxmlformats.org/officeDocument/2006/relationships/hyperlink" Target="https://web.archive.org/web/20250411162423/https:/www.accountingforsustainability.org/content/dam/a4s/corporate/home/KnowledgeHub/Guide-pdf/A4S%20Enhancing%20Investor%20Engagement%20Maturity%20Map.pdf.downloadasset.pdf" TargetMode="External"/><Relationship Id="rId110" Type="http://schemas.openxmlformats.org/officeDocument/2006/relationships/hyperlink" Target="https://web.archive.org/web/20250411165949/https:/liftoff.energy.gov/" TargetMode="External"/><Relationship Id="rId115" Type="http://schemas.openxmlformats.org/officeDocument/2006/relationships/hyperlink" Target="https://web.archive.org/web/20250411172806/https:/betterbuildingssolutioncenter.energy.gov/renewables" TargetMode="External"/><Relationship Id="rId131" Type="http://schemas.openxmlformats.org/officeDocument/2006/relationships/hyperlink" Target="https://web.archive.org/web/20250411175622/https:/www.energystar.gov/industrial_plants/earn-recognition/plant-certification" TargetMode="External"/><Relationship Id="rId136" Type="http://schemas.openxmlformats.org/officeDocument/2006/relationships/hyperlink" Target="https://web.archive.org/web/20250411180432/https:/betterbuildingssolutioncenter.energy.gov/sites/default/files/attachments/PortfolioPrioritization_Onsite.pdf" TargetMode="External"/><Relationship Id="rId61" Type="http://schemas.openxmlformats.org/officeDocument/2006/relationships/hyperlink" Target="https://liftoff.energy.gov/wp-content/uploads/2025/01/20230321-H2-Pathways-to-Commercial-Liftoff-Webinar-vF_web_Feb-2025.pdf" TargetMode="External"/><Relationship Id="rId82" Type="http://schemas.openxmlformats.org/officeDocument/2006/relationships/hyperlink" Target="https://www.icmagroup.org/assets/documents/Sustainable-finance/2022-updates/Green-Bond-Principles-June-2022-060623.pdf" TargetMode="External"/><Relationship Id="rId19" Type="http://schemas.openxmlformats.org/officeDocument/2006/relationships/hyperlink" Target="https://betterbuildingssolutioncenter.energy.gov/sites/default/files/tools/4519539_RTX%20Energy%20BMP%20Guidebook_Interactive_10-2022.pdf" TargetMode="External"/><Relationship Id="rId14" Type="http://schemas.openxmlformats.org/officeDocument/2006/relationships/hyperlink" Target="https://sciencebasedtargets.org/resources/files/Net-Zero-Standard-Criteria.pdf" TargetMode="External"/><Relationship Id="rId30" Type="http://schemas.openxmlformats.org/officeDocument/2006/relationships/hyperlink" Target="https://www.iea.org/energy-system/carbon-capture-utilisation-and-storage" TargetMode="External"/><Relationship Id="rId35" Type="http://schemas.openxmlformats.org/officeDocument/2006/relationships/hyperlink" Target="https://betterbuildingssolutioncenter.energy.gov/sites/default/files/attachments/Electrification%20Planning%20Working%20Group.pdf" TargetMode="External"/><Relationship Id="rId56" Type="http://schemas.openxmlformats.org/officeDocument/2006/relationships/hyperlink" Target="https://www.accountingforsustainability.org/content/dam/a4s/corporate/home/KnowledgeHub/Guide-pdf/A4S%20Enhancing%20Investor%20Engagement%20Maturity%20Map.pdf.downloadasset.pdf" TargetMode="External"/><Relationship Id="rId77" Type="http://schemas.openxmlformats.org/officeDocument/2006/relationships/hyperlink" Target="https://betterbuildingssolutioncenter.energy.gov/implementation-models/celanese-corporation-raising-energy-engagement-plant-operations-teams-energy" TargetMode="External"/><Relationship Id="rId100" Type="http://schemas.openxmlformats.org/officeDocument/2006/relationships/hyperlink" Target="https://web.archive.org/web/20250411165233/https:/betterbuildingssolutioncenter.energy.gov/sites/default/files/tools/4519539_RTX%20Energy%20BMP%20Guidebook_Interactive_10-2022.pdf" TargetMode="External"/><Relationship Id="rId105" Type="http://schemas.openxmlformats.org/officeDocument/2006/relationships/hyperlink" Target="https://web.archive.org/web/20250411170935/https:/www.renewablethermal.org/utility-engagement-playbook/" TargetMode="External"/><Relationship Id="rId126" Type="http://schemas.openxmlformats.org/officeDocument/2006/relationships/hyperlink" Target="https://web.archive.org/web/20250411174647/https:/betterbuildingssolutioncenter.energy.gov/implementation-models/celanese-corporation-raising-energy-engagement-plant-operations-teams-energy" TargetMode="External"/><Relationship Id="rId8" Type="http://schemas.openxmlformats.org/officeDocument/2006/relationships/hyperlink" Target="https://ghgprotocol.org/corporate-standard" TargetMode="External"/><Relationship Id="rId51" Type="http://schemas.openxmlformats.org/officeDocument/2006/relationships/hyperlink" Target="https://www.accountingforsustainability.org/content/dam/a4s/corporate/home/KnowledgeHub/Guide-pdf/A4S%20Guide%20to%20TCFD%20Climate%20Scenario%20Analysis.pdf.downloadasset.pdf" TargetMode="External"/><Relationship Id="rId72" Type="http://schemas.openxmlformats.org/officeDocument/2006/relationships/hyperlink" Target="https://betterbuildingssolutioncenter.energy.gov/implementation-models/arcelormittal-usa-power-1-contest-increases-employee-engagement-and-generates" TargetMode="External"/><Relationship Id="rId93" Type="http://schemas.openxmlformats.org/officeDocument/2006/relationships/hyperlink" Target="https://web.archive.org/web/20250411163500/https:/www.globalreporting.org/how-to-use-the-gri-standards/resource-center/?g=e918f7e7-34dc-40f2-9efa-0ff88f1ec1d6&amp;id=12510" TargetMode="External"/><Relationship Id="rId98" Type="http://schemas.openxmlformats.org/officeDocument/2006/relationships/hyperlink" Target="https://web.archive.org/web/20250411164835/https:/www1.eere.energy.gov/manufacturing/eguide/iso_step_2_5.html" TargetMode="External"/><Relationship Id="rId121" Type="http://schemas.openxmlformats.org/officeDocument/2006/relationships/hyperlink" Target="https://web.archive.org/web/20250411174022/https:/bptraining.ornl.gov/" TargetMode="External"/><Relationship Id="rId3" Type="http://schemas.openxmlformats.org/officeDocument/2006/relationships/hyperlink" Target="https://www.epa.gov/sites/default/files/2020-12/documents/fugitiveemissions.pdf" TargetMode="External"/><Relationship Id="rId25" Type="http://schemas.openxmlformats.org/officeDocument/2006/relationships/hyperlink" Target="https://www.renewablethermal.org/utility-engagement-playbook/" TargetMode="External"/><Relationship Id="rId46" Type="http://schemas.openxmlformats.org/officeDocument/2006/relationships/hyperlink" Target="https://betterbuildingssolutioncenter.energy.gov/sites/default/files/attachments/Demand%20Response%20in%20Industrial%20Manufacturing_Final%20V2.pdf" TargetMode="External"/><Relationship Id="rId67" Type="http://schemas.openxmlformats.org/officeDocument/2006/relationships/hyperlink" Target="https://www.nrel.gov/docs/fy25osti/92410.pdf" TargetMode="External"/><Relationship Id="rId116" Type="http://schemas.openxmlformats.org/officeDocument/2006/relationships/hyperlink" Target="https://afdc.energy.gov/" TargetMode="External"/><Relationship Id="rId137" Type="http://schemas.openxmlformats.org/officeDocument/2006/relationships/printerSettings" Target="../printerSettings/printerSettings6.bin"/><Relationship Id="rId20" Type="http://schemas.openxmlformats.org/officeDocument/2006/relationships/hyperlink" Target="https://www.energystar.gov/sites/default/files/tools/EPIBenchmarkingGuide_form.pdf" TargetMode="External"/><Relationship Id="rId41" Type="http://schemas.openxmlformats.org/officeDocument/2006/relationships/hyperlink" Target="https://betterbuildingssolutioncenter.energy.gov/renewables" TargetMode="External"/><Relationship Id="rId62" Type="http://schemas.openxmlformats.org/officeDocument/2006/relationships/hyperlink" Target="https://www.youtube.com/watch?v=hXFnuEjv_Zw" TargetMode="External"/><Relationship Id="rId83" Type="http://schemas.openxmlformats.org/officeDocument/2006/relationships/hyperlink" Target="https://betterbuildingssolutioncenter.energy.gov/implementation-models/electrolux-group-driving-climate-action-through-green-financing-framework-and" TargetMode="External"/><Relationship Id="rId88" Type="http://schemas.openxmlformats.org/officeDocument/2006/relationships/hyperlink" Target="https://web.archive.org/web/20250411181423/https:/ghgprotocol.org/sites/default/files/standards/ghg-protocol-revised.pdf" TargetMode="External"/><Relationship Id="rId111" Type="http://schemas.openxmlformats.org/officeDocument/2006/relationships/hyperlink" Target="https://web.archive.org/web/20250411172122/https:/betterbuildingssolutioncenter.energy.gov/sites/default/files/2024-04/2024Summit-15toPhasedown_ReplacingHFCs_Refrigerants-Slides.pdf" TargetMode="External"/><Relationship Id="rId132" Type="http://schemas.openxmlformats.org/officeDocument/2006/relationships/hyperlink" Target="https://web.archive.org/web/20250411175709/https:/betterbuildingssolutioncenter.energy.gov/financing-navigator/allies" TargetMode="External"/><Relationship Id="rId15" Type="http://schemas.openxmlformats.org/officeDocument/2006/relationships/hyperlink" Target="https://betterbuildingssolutioncenter.energy.gov/sites/default/files/attachments/Energy%20Intensity%20Baselining%20and%20Tracking%20Guidance%202020.pdf" TargetMode="External"/><Relationship Id="rId36" Type="http://schemas.openxmlformats.org/officeDocument/2006/relationships/hyperlink" Target="https://betterbuildingssolutioncenter.energy.gov/sites/default/files/Low%20Emissions%20Alt%20Fact%20Sheet.pdf" TargetMode="External"/><Relationship Id="rId57" Type="http://schemas.openxmlformats.org/officeDocument/2006/relationships/hyperlink" Target="https://www.eia.gov/outlooks/aeo/tables_ref.php" TargetMode="External"/><Relationship Id="rId106" Type="http://schemas.openxmlformats.org/officeDocument/2006/relationships/hyperlink" Target="https://web.archive.org/web/20250411171002/https:/betterbuildingssolutioncenter.energy.gov/sites/default/files/Low%20Emissions%20Alt%20Fact%20Sheet.pdf" TargetMode="External"/><Relationship Id="rId127" Type="http://schemas.openxmlformats.org/officeDocument/2006/relationships/hyperlink" Target="https://web.archive.org/web/20250411174915/https:/www.cov.com/-/media/files/corporate/sustainability-toolkit/sustainability-toolkit-corporate-strategy-for-sustainable-energy-procurement.pdf" TargetMode="External"/><Relationship Id="rId10" Type="http://schemas.openxmlformats.org/officeDocument/2006/relationships/hyperlink" Target="https://www.there100.org/technical-guidance" TargetMode="External"/><Relationship Id="rId31" Type="http://schemas.openxmlformats.org/officeDocument/2006/relationships/hyperlink" Target="https://www.renewablethermal.org/case-study-webinar-recording-astrazeneca-amp-vanguard-renewables-u-s-rng-agreement/" TargetMode="External"/><Relationship Id="rId52" Type="http://schemas.openxmlformats.org/officeDocument/2006/relationships/hyperlink" Target="https://ghgprotocol.org/sites/default/files/standards/ghg-protocol-revised.pdf" TargetMode="External"/><Relationship Id="rId73" Type="http://schemas.openxmlformats.org/officeDocument/2006/relationships/hyperlink" Target="https://betterbuildingssolutioncenter.energy.gov/better-plants/diagnostic-tools" TargetMode="External"/><Relationship Id="rId78" Type="http://schemas.openxmlformats.org/officeDocument/2006/relationships/hyperlink" Target="https://kpmg.com/kpmg-us/content/dam/kpmg/pdf/2023/how-to-get-internal-carbon-pricing-right.pdf" TargetMode="External"/><Relationship Id="rId94" Type="http://schemas.openxmlformats.org/officeDocument/2006/relationships/hyperlink" Target="https://web.archive.org/web/20250411181209/https:/sciencebasedtargets.org/resources/files/Net-Zero-Standard-Criteria.pdf" TargetMode="External"/><Relationship Id="rId99" Type="http://schemas.openxmlformats.org/officeDocument/2006/relationships/hyperlink" Target="https://web.archive.org/web/20250403210539/https:/www.energystar.gov/sites/default/files/tools/EPIBenchmarkingGuide_form.pdf" TargetMode="External"/><Relationship Id="rId101" Type="http://schemas.openxmlformats.org/officeDocument/2006/relationships/hyperlink" Target="https://web.archive.org/web/20250411165949/https:/liftoff.energy.gov/" TargetMode="External"/><Relationship Id="rId122" Type="http://schemas.openxmlformats.org/officeDocument/2006/relationships/hyperlink" Target="https://web.archive.org/web/20250411174018/https:/betterbuildingssolutioncenter.energy.gov/better-plants/diagnostic-tools" TargetMode="External"/><Relationship Id="rId4" Type="http://schemas.openxmlformats.org/officeDocument/2006/relationships/hyperlink" Target="https://www.epa.gov/sites/default/files/2020-12/documents/electricityemissions.pdf" TargetMode="External"/><Relationship Id="rId9" Type="http://schemas.openxmlformats.org/officeDocument/2006/relationships/hyperlink" Target="https://www.globalreporting.org/how-to-use-the-gri-standards/resource-center/?g=e918f7e7-34dc-40f2-9efa-0ff88f1ec1d6&amp;id=12510" TargetMode="External"/><Relationship Id="rId26" Type="http://schemas.openxmlformats.org/officeDocument/2006/relationships/hyperlink" Target="https://betterbuildingssolutioncenter.energy.gov/resources/portfolio-screening-and-prioritization-onsite-energy" TargetMode="External"/><Relationship Id="rId47" Type="http://schemas.openxmlformats.org/officeDocument/2006/relationships/hyperlink" Target="https://www.energy.gov/sites/default/files/2022-09/Industrial%20Decarbonization%20Roadmap.pdf" TargetMode="External"/><Relationship Id="rId68" Type="http://schemas.openxmlformats.org/officeDocument/2006/relationships/hyperlink" Target="https://www.edf.org/sites/default/files/documents/MACC_2.0%20report_Evolved_EDF.pdf" TargetMode="External"/><Relationship Id="rId89" Type="http://schemas.openxmlformats.org/officeDocument/2006/relationships/hyperlink" Target="https://web.archive.org/web/20250411163104/https:/www.epa.gov/sites/default/files/2020-12/documents/stationaryemissions.pdf" TargetMode="External"/><Relationship Id="rId112" Type="http://schemas.openxmlformats.org/officeDocument/2006/relationships/hyperlink" Target="https://web.archive.org/web/20250411172233/https:/betterbuildingssolutioncenter.energy.gov/better-plants/better-plants-trainings" TargetMode="External"/><Relationship Id="rId133" Type="http://schemas.openxmlformats.org/officeDocument/2006/relationships/hyperlink" Target="https://web.archive.org/web/20250411175821/https:/www.edf.org/sites/default/files/documents/MACC_2.0%20report_Evolved_EDF.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there100.org/technical-guidance" TargetMode="External"/><Relationship Id="rId2" Type="http://schemas.openxmlformats.org/officeDocument/2006/relationships/hyperlink" Target="https://ghgprotocol.org/scope-2-guidance" TargetMode="External"/><Relationship Id="rId1" Type="http://schemas.openxmlformats.org/officeDocument/2006/relationships/hyperlink" Target="https://ghgprotocol.org/corporate-standard"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hyperlink" Target="https://sciencebasedtargets.org/net-zero"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EC2F-8EF4-444E-B90E-B17709D9E242}">
  <sheetPr codeName="Sheet3">
    <tabColor theme="7" tint="0.39997558519241921"/>
  </sheetPr>
  <dimension ref="A1:I36"/>
  <sheetViews>
    <sheetView showGridLines="0" tabSelected="1" zoomScale="115" zoomScaleNormal="115" workbookViewId="0">
      <selection activeCell="H18" sqref="H18"/>
    </sheetView>
  </sheetViews>
  <sheetFormatPr defaultColWidth="8.77734375" defaultRowHeight="14.4"/>
  <cols>
    <col min="1" max="9" width="14.77734375" style="7" customWidth="1"/>
    <col min="10" max="16384" width="8.77734375" style="7"/>
  </cols>
  <sheetData>
    <row r="1" spans="1:9" ht="76.05" customHeight="1" thickBot="1">
      <c r="A1" s="572" t="s">
        <v>372</v>
      </c>
      <c r="B1" s="573"/>
      <c r="C1" s="573"/>
      <c r="D1" s="573"/>
      <c r="E1" s="573"/>
      <c r="F1" s="573"/>
      <c r="G1" s="573"/>
      <c r="H1" s="573"/>
      <c r="I1" s="574"/>
    </row>
    <row r="2" spans="1:9">
      <c r="A2" s="446"/>
      <c r="B2" s="447"/>
      <c r="C2" s="447"/>
      <c r="D2" s="447"/>
      <c r="E2" s="447"/>
      <c r="F2" s="447"/>
      <c r="G2" s="447"/>
      <c r="H2" s="447"/>
      <c r="I2" s="448"/>
    </row>
    <row r="3" spans="1:9">
      <c r="A3" s="151"/>
      <c r="B3" s="449"/>
      <c r="C3" s="450"/>
      <c r="D3" s="450"/>
      <c r="E3" s="450"/>
      <c r="F3" s="450"/>
      <c r="G3" s="450"/>
      <c r="H3" s="450"/>
      <c r="I3" s="152"/>
    </row>
    <row r="4" spans="1:9" ht="15.6">
      <c r="A4" s="153"/>
      <c r="B4" s="575" t="s">
        <v>67</v>
      </c>
      <c r="C4" s="575"/>
      <c r="D4" s="249" t="s">
        <v>68</v>
      </c>
      <c r="E4" s="576" t="s">
        <v>405</v>
      </c>
      <c r="F4" s="577"/>
      <c r="G4" s="577"/>
      <c r="H4" s="577"/>
      <c r="I4" s="578"/>
    </row>
    <row r="5" spans="1:9" ht="15.6">
      <c r="A5" s="153"/>
      <c r="B5" s="575" t="s">
        <v>69</v>
      </c>
      <c r="C5" s="575"/>
      <c r="D5" s="249" t="s">
        <v>70</v>
      </c>
      <c r="E5" s="576"/>
      <c r="F5" s="577"/>
      <c r="G5" s="577"/>
      <c r="H5" s="577"/>
      <c r="I5" s="578"/>
    </row>
    <row r="6" spans="1:9">
      <c r="A6" s="154"/>
      <c r="B6" s="451"/>
      <c r="C6" s="451"/>
      <c r="D6" s="450"/>
      <c r="E6" s="452"/>
      <c r="F6" s="452"/>
      <c r="G6" s="452"/>
      <c r="H6" s="452"/>
      <c r="I6" s="155"/>
    </row>
    <row r="7" spans="1:9">
      <c r="A7" s="154"/>
      <c r="B7" s="451"/>
      <c r="C7" s="451"/>
      <c r="D7" s="450"/>
      <c r="E7" s="450"/>
      <c r="F7" s="450"/>
      <c r="G7" s="450"/>
      <c r="H7" s="450"/>
      <c r="I7" s="152"/>
    </row>
    <row r="8" spans="1:9" ht="17.399999999999999">
      <c r="A8" s="200" t="s">
        <v>71</v>
      </c>
      <c r="B8" s="451"/>
      <c r="C8" s="451"/>
      <c r="D8" s="450"/>
      <c r="E8" s="450"/>
      <c r="F8" s="450"/>
      <c r="G8" s="450"/>
      <c r="H8" s="450"/>
      <c r="I8" s="152"/>
    </row>
    <row r="9" spans="1:9">
      <c r="A9" s="156" t="s">
        <v>72</v>
      </c>
      <c r="B9" s="451"/>
      <c r="C9" s="451"/>
      <c r="D9" s="450"/>
      <c r="E9" s="450"/>
      <c r="F9" s="450"/>
      <c r="G9" s="450"/>
      <c r="H9" s="450"/>
      <c r="I9" s="152"/>
    </row>
    <row r="10" spans="1:9">
      <c r="A10" s="154" t="s">
        <v>73</v>
      </c>
      <c r="B10" s="451"/>
      <c r="C10" s="451"/>
      <c r="D10" s="450"/>
      <c r="E10" s="450"/>
      <c r="F10" s="450"/>
      <c r="G10" s="450"/>
      <c r="H10" s="450"/>
      <c r="I10" s="152"/>
    </row>
    <row r="11" spans="1:9">
      <c r="A11" s="157" t="s">
        <v>79</v>
      </c>
      <c r="B11" s="451"/>
      <c r="C11" s="451"/>
      <c r="D11" s="450"/>
      <c r="E11" s="450"/>
      <c r="F11" s="450"/>
      <c r="G11" s="450"/>
      <c r="H11" s="450"/>
      <c r="I11" s="152"/>
    </row>
    <row r="12" spans="1:9">
      <c r="A12" s="154"/>
      <c r="B12" s="451"/>
      <c r="C12" s="451"/>
      <c r="D12" s="450"/>
      <c r="E12" s="450"/>
      <c r="F12" s="450"/>
      <c r="G12" s="450"/>
      <c r="H12" s="450"/>
      <c r="I12" s="152"/>
    </row>
    <row r="13" spans="1:9">
      <c r="A13" s="156" t="s">
        <v>74</v>
      </c>
      <c r="B13" s="451"/>
      <c r="C13" s="451"/>
      <c r="D13" s="450"/>
      <c r="E13" s="450"/>
      <c r="F13" s="450"/>
      <c r="G13" s="450"/>
      <c r="H13" s="450"/>
      <c r="I13" s="152"/>
    </row>
    <row r="14" spans="1:9">
      <c r="A14" s="154"/>
      <c r="B14" s="451"/>
      <c r="C14" s="451"/>
      <c r="D14" s="450"/>
      <c r="E14" s="450"/>
      <c r="F14" s="450"/>
      <c r="G14" s="450"/>
      <c r="H14" s="450"/>
      <c r="I14" s="152"/>
    </row>
    <row r="15" spans="1:9">
      <c r="A15" s="156" t="s">
        <v>75</v>
      </c>
      <c r="B15" s="451"/>
      <c r="C15" s="451"/>
      <c r="D15" s="450"/>
      <c r="E15" s="450"/>
      <c r="F15" s="450"/>
      <c r="G15" s="450"/>
      <c r="H15" s="450"/>
      <c r="I15" s="152"/>
    </row>
    <row r="16" spans="1:9">
      <c r="A16" s="567" t="s">
        <v>361</v>
      </c>
      <c r="B16" s="568"/>
      <c r="C16" s="451"/>
      <c r="D16" s="450"/>
      <c r="E16" s="450"/>
      <c r="F16" s="450"/>
      <c r="G16" s="450"/>
      <c r="H16" s="450"/>
      <c r="I16" s="152"/>
    </row>
    <row r="17" spans="1:9">
      <c r="A17" s="567" t="s">
        <v>76</v>
      </c>
      <c r="B17" s="568"/>
      <c r="C17" s="451"/>
      <c r="D17" s="450"/>
      <c r="E17" s="450"/>
      <c r="F17" s="450"/>
      <c r="G17" s="450"/>
      <c r="H17" s="450"/>
      <c r="I17" s="152"/>
    </row>
    <row r="18" spans="1:9">
      <c r="A18" s="567" t="s">
        <v>502</v>
      </c>
      <c r="B18" s="568"/>
      <c r="C18" s="451"/>
      <c r="D18" s="450"/>
      <c r="E18" s="450"/>
      <c r="F18" s="450"/>
      <c r="G18" s="450"/>
      <c r="H18" s="450"/>
      <c r="I18" s="152"/>
    </row>
    <row r="19" spans="1:9">
      <c r="A19" s="567" t="s">
        <v>362</v>
      </c>
      <c r="B19" s="568"/>
      <c r="C19" s="451"/>
      <c r="D19" s="450"/>
      <c r="E19" s="450"/>
      <c r="F19" s="450"/>
      <c r="G19" s="450"/>
      <c r="H19" s="450"/>
      <c r="I19" s="152"/>
    </row>
    <row r="20" spans="1:9">
      <c r="A20" s="154"/>
      <c r="B20" s="451"/>
      <c r="C20" s="451"/>
      <c r="D20" s="450"/>
      <c r="E20" s="450"/>
      <c r="F20" s="450"/>
      <c r="G20" s="450"/>
      <c r="H20" s="450"/>
      <c r="I20" s="152"/>
    </row>
    <row r="21" spans="1:9">
      <c r="A21" s="156" t="s">
        <v>77</v>
      </c>
      <c r="B21" s="451"/>
      <c r="C21" s="451"/>
      <c r="D21" s="450"/>
      <c r="E21" s="450"/>
      <c r="F21" s="450"/>
      <c r="G21" s="450"/>
      <c r="H21" s="450"/>
      <c r="I21" s="152"/>
    </row>
    <row r="22" spans="1:9">
      <c r="A22" s="154" t="s">
        <v>805</v>
      </c>
      <c r="B22" s="451"/>
      <c r="C22" s="451"/>
      <c r="D22" s="450"/>
      <c r="E22" s="450"/>
      <c r="F22" s="450"/>
      <c r="G22" s="450"/>
      <c r="H22" s="450"/>
      <c r="I22" s="152"/>
    </row>
    <row r="23" spans="1:9">
      <c r="A23" s="153"/>
      <c r="B23" s="451"/>
      <c r="C23" s="451"/>
      <c r="D23" s="450"/>
      <c r="E23" s="450"/>
      <c r="F23" s="450"/>
      <c r="G23" s="450"/>
      <c r="H23" s="450"/>
      <c r="I23" s="152"/>
    </row>
    <row r="24" spans="1:9" ht="14.55" customHeight="1">
      <c r="A24" s="156" t="s">
        <v>406</v>
      </c>
      <c r="B24" s="453"/>
      <c r="C24" s="453"/>
      <c r="D24" s="453"/>
      <c r="E24" s="453"/>
      <c r="F24" s="453"/>
      <c r="G24" s="453"/>
      <c r="H24" s="453"/>
      <c r="I24" s="203"/>
    </row>
    <row r="25" spans="1:9" ht="14.55" customHeight="1">
      <c r="A25" s="569" t="s">
        <v>78</v>
      </c>
      <c r="B25" s="570"/>
      <c r="C25" s="570"/>
      <c r="D25" s="570"/>
      <c r="E25" s="570"/>
      <c r="F25" s="570"/>
      <c r="G25" s="570"/>
      <c r="H25" s="570"/>
      <c r="I25" s="571"/>
    </row>
    <row r="26" spans="1:9">
      <c r="A26" s="569"/>
      <c r="B26" s="570"/>
      <c r="C26" s="570"/>
      <c r="D26" s="570"/>
      <c r="E26" s="570"/>
      <c r="F26" s="570"/>
      <c r="G26" s="570"/>
      <c r="H26" s="570"/>
      <c r="I26" s="571"/>
    </row>
    <row r="27" spans="1:9">
      <c r="A27" s="569"/>
      <c r="B27" s="570"/>
      <c r="C27" s="570"/>
      <c r="D27" s="570"/>
      <c r="E27" s="570"/>
      <c r="F27" s="570"/>
      <c r="G27" s="570"/>
      <c r="H27" s="570"/>
      <c r="I27" s="571"/>
    </row>
    <row r="28" spans="1:9">
      <c r="A28" s="569"/>
      <c r="B28" s="570"/>
      <c r="C28" s="570"/>
      <c r="D28" s="570"/>
      <c r="E28" s="570"/>
      <c r="F28" s="570"/>
      <c r="G28" s="570"/>
      <c r="H28" s="570"/>
      <c r="I28" s="571"/>
    </row>
    <row r="29" spans="1:9">
      <c r="A29" s="569"/>
      <c r="B29" s="570"/>
      <c r="C29" s="570"/>
      <c r="D29" s="570"/>
      <c r="E29" s="570"/>
      <c r="F29" s="570"/>
      <c r="G29" s="570"/>
      <c r="H29" s="570"/>
      <c r="I29" s="571"/>
    </row>
    <row r="30" spans="1:9">
      <c r="A30" s="569"/>
      <c r="B30" s="570"/>
      <c r="C30" s="570"/>
      <c r="D30" s="570"/>
      <c r="E30" s="570"/>
      <c r="F30" s="570"/>
      <c r="G30" s="570"/>
      <c r="H30" s="570"/>
      <c r="I30" s="571"/>
    </row>
    <row r="31" spans="1:9">
      <c r="A31" s="569"/>
      <c r="B31" s="570"/>
      <c r="C31" s="570"/>
      <c r="D31" s="570"/>
      <c r="E31" s="570"/>
      <c r="F31" s="570"/>
      <c r="G31" s="570"/>
      <c r="H31" s="570"/>
      <c r="I31" s="571"/>
    </row>
    <row r="32" spans="1:9">
      <c r="A32" s="569"/>
      <c r="B32" s="570"/>
      <c r="C32" s="570"/>
      <c r="D32" s="570"/>
      <c r="E32" s="570"/>
      <c r="F32" s="570"/>
      <c r="G32" s="570"/>
      <c r="H32" s="570"/>
      <c r="I32" s="571"/>
    </row>
    <row r="33" spans="1:9">
      <c r="A33" s="569"/>
      <c r="B33" s="570"/>
      <c r="C33" s="570"/>
      <c r="D33" s="570"/>
      <c r="E33" s="570"/>
      <c r="F33" s="570"/>
      <c r="G33" s="570"/>
      <c r="H33" s="570"/>
      <c r="I33" s="571"/>
    </row>
    <row r="34" spans="1:9">
      <c r="A34" s="569"/>
      <c r="B34" s="570"/>
      <c r="C34" s="570"/>
      <c r="D34" s="570"/>
      <c r="E34" s="570"/>
      <c r="F34" s="570"/>
      <c r="G34" s="570"/>
      <c r="H34" s="570"/>
      <c r="I34" s="571"/>
    </row>
    <row r="35" spans="1:9">
      <c r="A35" s="159"/>
      <c r="B35" s="454"/>
      <c r="C35" s="454"/>
      <c r="D35" s="454"/>
      <c r="E35" s="454"/>
      <c r="F35" s="454"/>
      <c r="G35" s="454"/>
      <c r="H35" s="454"/>
      <c r="I35" s="158"/>
    </row>
    <row r="36" spans="1:9" ht="16.2" thickBot="1">
      <c r="A36" s="160"/>
      <c r="B36" s="161"/>
      <c r="C36" s="161"/>
      <c r="D36" s="161"/>
      <c r="E36" s="161"/>
      <c r="F36" s="161"/>
      <c r="G36" s="161"/>
      <c r="H36" s="161"/>
      <c r="I36" s="183">
        <v>45811</v>
      </c>
    </row>
  </sheetData>
  <mergeCells count="9">
    <mergeCell ref="A16:B16"/>
    <mergeCell ref="A18:B18"/>
    <mergeCell ref="A19:B19"/>
    <mergeCell ref="A25:I34"/>
    <mergeCell ref="A1:I1"/>
    <mergeCell ref="B4:C4"/>
    <mergeCell ref="E4:I5"/>
    <mergeCell ref="B5:C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AF73-0C0D-4073-9FED-A53124DBB399}">
  <sheetPr>
    <tabColor theme="7" tint="0.39997558519241921"/>
  </sheetPr>
  <dimension ref="A1:AD33"/>
  <sheetViews>
    <sheetView showGridLines="0" workbookViewId="0">
      <selection activeCell="V9" sqref="V9"/>
    </sheetView>
  </sheetViews>
  <sheetFormatPr defaultColWidth="8.77734375" defaultRowHeight="15"/>
  <cols>
    <col min="1" max="1" width="3.21875" style="91" customWidth="1"/>
    <col min="2" max="4" width="6.21875" style="91" customWidth="1"/>
    <col min="5" max="19" width="8.77734375" style="91"/>
    <col min="20" max="20" width="3.21875" style="91" customWidth="1"/>
    <col min="21" max="16384" width="8.77734375" style="91"/>
  </cols>
  <sheetData>
    <row r="1" spans="1:30" ht="76.5" customHeight="1" thickBot="1">
      <c r="A1" s="582" t="s">
        <v>806</v>
      </c>
      <c r="B1" s="583"/>
      <c r="C1" s="583"/>
      <c r="D1" s="583"/>
      <c r="E1" s="583"/>
      <c r="F1" s="583"/>
      <c r="G1" s="583"/>
      <c r="H1" s="583"/>
      <c r="I1" s="583"/>
      <c r="J1" s="583"/>
      <c r="K1" s="583"/>
      <c r="L1" s="583"/>
      <c r="M1" s="583"/>
      <c r="N1" s="583"/>
      <c r="O1" s="583"/>
      <c r="P1" s="583"/>
      <c r="Q1" s="583"/>
      <c r="R1" s="583"/>
      <c r="S1" s="583"/>
      <c r="T1" s="584"/>
      <c r="U1" s="202"/>
      <c r="V1" s="202"/>
      <c r="W1" s="202"/>
      <c r="X1" s="202"/>
      <c r="Y1" s="202"/>
      <c r="Z1" s="202"/>
      <c r="AA1" s="202"/>
      <c r="AB1" s="202"/>
      <c r="AC1" s="202"/>
      <c r="AD1" s="202"/>
    </row>
    <row r="2" spans="1:30">
      <c r="A2" s="9"/>
      <c r="B2" s="10"/>
      <c r="C2" s="10"/>
      <c r="D2" s="10"/>
      <c r="E2" s="10"/>
      <c r="F2" s="10"/>
      <c r="G2" s="10"/>
      <c r="H2" s="10"/>
      <c r="I2" s="10"/>
      <c r="J2" s="10"/>
      <c r="K2" s="10"/>
      <c r="L2" s="10"/>
      <c r="M2" s="10"/>
      <c r="N2" s="10"/>
      <c r="O2" s="10"/>
      <c r="P2" s="10"/>
      <c r="Q2" s="10"/>
      <c r="R2" s="10"/>
      <c r="S2" s="10"/>
      <c r="T2" s="12"/>
    </row>
    <row r="3" spans="1:30">
      <c r="A3" s="9"/>
      <c r="B3" s="10"/>
      <c r="C3" s="10"/>
      <c r="D3" s="10"/>
      <c r="E3" s="10"/>
      <c r="F3" s="10"/>
      <c r="G3" s="10"/>
      <c r="H3" s="10"/>
      <c r="I3" s="10"/>
      <c r="J3" s="10"/>
      <c r="K3" s="10"/>
      <c r="L3" s="10"/>
      <c r="M3" s="10"/>
      <c r="N3" s="10"/>
      <c r="O3" s="10"/>
      <c r="P3" s="10"/>
      <c r="Q3" s="10"/>
      <c r="R3" s="10"/>
      <c r="S3" s="10"/>
      <c r="T3" s="12"/>
    </row>
    <row r="4" spans="1:30">
      <c r="A4" s="9"/>
      <c r="B4" s="10"/>
      <c r="C4" s="10"/>
      <c r="D4" s="10"/>
      <c r="E4" s="10"/>
      <c r="F4" s="10"/>
      <c r="G4" s="10"/>
      <c r="H4" s="10"/>
      <c r="I4" s="10"/>
      <c r="J4" s="10"/>
      <c r="K4" s="10"/>
      <c r="L4" s="10"/>
      <c r="M4" s="10"/>
      <c r="N4" s="10"/>
      <c r="O4" s="10"/>
      <c r="P4" s="10"/>
      <c r="Q4" s="10"/>
      <c r="R4" s="10"/>
      <c r="S4" s="10"/>
      <c r="T4" s="12"/>
    </row>
    <row r="5" spans="1:30">
      <c r="A5" s="9"/>
      <c r="B5" s="10"/>
      <c r="C5" s="10"/>
      <c r="D5" s="10"/>
      <c r="E5" s="10"/>
      <c r="F5" s="10"/>
      <c r="G5" s="10"/>
      <c r="H5" s="10"/>
      <c r="I5" s="10"/>
      <c r="J5" s="10"/>
      <c r="K5" s="10"/>
      <c r="L5" s="10"/>
      <c r="M5" s="10"/>
      <c r="N5" s="10"/>
      <c r="O5" s="10"/>
      <c r="P5" s="10"/>
      <c r="Q5" s="10"/>
      <c r="R5" s="10"/>
      <c r="S5" s="10"/>
      <c r="T5" s="12"/>
    </row>
    <row r="6" spans="1:30">
      <c r="A6" s="9"/>
      <c r="B6" s="10"/>
      <c r="C6" s="10"/>
      <c r="D6" s="10"/>
      <c r="E6" s="10"/>
      <c r="F6" s="10"/>
      <c r="G6" s="10"/>
      <c r="H6" s="10"/>
      <c r="I6" s="10"/>
      <c r="J6" s="10"/>
      <c r="K6" s="10"/>
      <c r="L6" s="10"/>
      <c r="M6" s="10"/>
      <c r="N6" s="10"/>
      <c r="O6" s="10"/>
      <c r="P6" s="10"/>
      <c r="Q6" s="10"/>
      <c r="R6" s="10"/>
      <c r="S6" s="10"/>
      <c r="T6" s="12"/>
    </row>
    <row r="7" spans="1:30">
      <c r="A7" s="9"/>
      <c r="B7" s="10"/>
      <c r="C7" s="10"/>
      <c r="D7" s="10"/>
      <c r="E7" s="10"/>
      <c r="F7" s="10"/>
      <c r="G7" s="10"/>
      <c r="H7" s="10"/>
      <c r="I7" s="10"/>
      <c r="J7" s="10"/>
      <c r="K7" s="10"/>
      <c r="L7" s="10"/>
      <c r="M7" s="10"/>
      <c r="N7" s="10"/>
      <c r="O7" s="10"/>
      <c r="P7" s="10"/>
      <c r="Q7" s="10"/>
      <c r="R7" s="10"/>
      <c r="S7" s="10"/>
      <c r="T7" s="12"/>
    </row>
    <row r="8" spans="1:30">
      <c r="A8" s="9"/>
      <c r="B8" s="10"/>
      <c r="C8" s="10"/>
      <c r="D8" s="10"/>
      <c r="E8" s="10"/>
      <c r="F8" s="10"/>
      <c r="G8" s="10"/>
      <c r="H8" s="10"/>
      <c r="I8" s="10"/>
      <c r="J8" s="10"/>
      <c r="K8" s="10"/>
      <c r="L8" s="10"/>
      <c r="M8" s="10"/>
      <c r="N8" s="10"/>
      <c r="O8" s="10"/>
      <c r="P8" s="10"/>
      <c r="Q8" s="10"/>
      <c r="R8" s="10"/>
      <c r="S8" s="10"/>
      <c r="T8" s="12"/>
    </row>
    <row r="9" spans="1:30">
      <c r="A9" s="9"/>
      <c r="B9" s="10"/>
      <c r="C9" s="10"/>
      <c r="D9" s="10"/>
      <c r="E9" s="10"/>
      <c r="F9" s="10"/>
      <c r="G9" s="10"/>
      <c r="H9" s="10"/>
      <c r="I9" s="10"/>
      <c r="J9" s="10"/>
      <c r="K9" s="10"/>
      <c r="L9" s="10"/>
      <c r="M9" s="10"/>
      <c r="N9" s="10"/>
      <c r="O9" s="10"/>
      <c r="P9" s="10"/>
      <c r="Q9" s="10"/>
      <c r="R9" s="10"/>
      <c r="S9" s="10"/>
      <c r="T9" s="12"/>
    </row>
    <row r="10" spans="1:30">
      <c r="A10" s="9"/>
      <c r="B10" s="10"/>
      <c r="C10" s="10"/>
      <c r="D10" s="10"/>
      <c r="E10" s="10"/>
      <c r="F10" s="10"/>
      <c r="G10" s="10"/>
      <c r="H10" s="10"/>
      <c r="I10" s="10"/>
      <c r="J10" s="10"/>
      <c r="K10" s="10"/>
      <c r="L10" s="10"/>
      <c r="M10" s="10"/>
      <c r="N10" s="10"/>
      <c r="O10" s="10"/>
      <c r="P10" s="10"/>
      <c r="Q10" s="10"/>
      <c r="R10" s="10"/>
      <c r="S10" s="10"/>
      <c r="T10" s="12"/>
    </row>
    <row r="11" spans="1:30">
      <c r="A11" s="9"/>
      <c r="B11" s="10"/>
      <c r="C11" s="10"/>
      <c r="D11" s="10"/>
      <c r="E11" s="10"/>
      <c r="F11" s="10"/>
      <c r="G11" s="10"/>
      <c r="H11" s="10"/>
      <c r="I11" s="10"/>
      <c r="J11" s="10"/>
      <c r="K11" s="10"/>
      <c r="L11" s="10"/>
      <c r="M11" s="10"/>
      <c r="N11" s="10"/>
      <c r="O11" s="10"/>
      <c r="P11" s="10"/>
      <c r="Q11" s="10"/>
      <c r="R11" s="10"/>
      <c r="S11" s="10"/>
      <c r="T11" s="12"/>
    </row>
    <row r="12" spans="1:30">
      <c r="A12" s="9"/>
      <c r="B12" s="10"/>
      <c r="C12" s="10"/>
      <c r="D12" s="10"/>
      <c r="E12" s="10"/>
      <c r="F12" s="10"/>
      <c r="G12" s="10"/>
      <c r="H12" s="10"/>
      <c r="I12" s="10"/>
      <c r="J12" s="10"/>
      <c r="K12" s="10"/>
      <c r="L12" s="10"/>
      <c r="M12" s="10"/>
      <c r="N12" s="10"/>
      <c r="O12" s="10"/>
      <c r="P12" s="10"/>
      <c r="Q12" s="10"/>
      <c r="R12" s="10"/>
      <c r="S12" s="10"/>
      <c r="T12" s="12"/>
    </row>
    <row r="13" spans="1:30">
      <c r="A13" s="9"/>
      <c r="B13" s="10"/>
      <c r="C13" s="10"/>
      <c r="D13" s="10"/>
      <c r="E13" s="10"/>
      <c r="F13" s="10"/>
      <c r="G13" s="10"/>
      <c r="H13" s="10"/>
      <c r="I13" s="10"/>
      <c r="J13" s="10"/>
      <c r="K13" s="10"/>
      <c r="L13" s="10"/>
      <c r="M13" s="10"/>
      <c r="N13" s="10"/>
      <c r="O13" s="10"/>
      <c r="P13" s="10"/>
      <c r="Q13" s="10"/>
      <c r="R13" s="10"/>
      <c r="S13" s="10"/>
      <c r="T13" s="12"/>
    </row>
    <row r="14" spans="1:30">
      <c r="A14" s="9"/>
      <c r="B14" s="10"/>
      <c r="C14" s="10"/>
      <c r="D14" s="10"/>
      <c r="E14" s="10"/>
      <c r="F14" s="10"/>
      <c r="G14" s="10"/>
      <c r="H14" s="10"/>
      <c r="I14" s="10"/>
      <c r="J14" s="10"/>
      <c r="K14" s="10"/>
      <c r="L14" s="10"/>
      <c r="M14" s="10"/>
      <c r="N14" s="10"/>
      <c r="O14" s="10"/>
      <c r="P14" s="10"/>
      <c r="Q14" s="10"/>
      <c r="R14" s="10"/>
      <c r="S14" s="10"/>
      <c r="T14" s="12"/>
    </row>
    <row r="15" spans="1:30">
      <c r="A15" s="9"/>
      <c r="B15" s="10"/>
      <c r="C15" s="10"/>
      <c r="D15" s="10"/>
      <c r="E15" s="10"/>
      <c r="F15" s="10"/>
      <c r="G15" s="10"/>
      <c r="H15" s="10"/>
      <c r="I15" s="10"/>
      <c r="J15" s="10"/>
      <c r="K15" s="10"/>
      <c r="L15" s="10"/>
      <c r="M15" s="10"/>
      <c r="N15" s="10"/>
      <c r="O15" s="10"/>
      <c r="P15" s="10"/>
      <c r="Q15" s="10"/>
      <c r="R15" s="10"/>
      <c r="S15" s="10"/>
      <c r="T15" s="12"/>
    </row>
    <row r="16" spans="1:30">
      <c r="A16" s="9"/>
      <c r="B16" s="10"/>
      <c r="C16" s="10"/>
      <c r="D16" s="10"/>
      <c r="E16" s="10"/>
      <c r="F16" s="10"/>
      <c r="G16" s="10"/>
      <c r="H16" s="10"/>
      <c r="I16" s="10"/>
      <c r="J16" s="10"/>
      <c r="K16" s="10"/>
      <c r="L16" s="10"/>
      <c r="M16" s="10"/>
      <c r="N16" s="10"/>
      <c r="O16" s="10"/>
      <c r="P16" s="10"/>
      <c r="Q16" s="10"/>
      <c r="R16" s="10"/>
      <c r="S16" s="10"/>
      <c r="T16" s="12"/>
    </row>
    <row r="17" spans="1:20">
      <c r="A17" s="9"/>
      <c r="B17" s="10"/>
      <c r="C17" s="10"/>
      <c r="D17" s="10"/>
      <c r="E17" s="10"/>
      <c r="F17" s="10"/>
      <c r="G17" s="10"/>
      <c r="H17" s="10"/>
      <c r="I17" s="10"/>
      <c r="J17" s="10"/>
      <c r="K17" s="10"/>
      <c r="L17" s="10"/>
      <c r="M17" s="10"/>
      <c r="N17" s="10"/>
      <c r="O17" s="10"/>
      <c r="P17" s="10"/>
      <c r="Q17" s="10"/>
      <c r="R17" s="10"/>
      <c r="S17" s="10"/>
      <c r="T17" s="12"/>
    </row>
    <row r="18" spans="1:20">
      <c r="A18" s="9"/>
      <c r="B18" s="10"/>
      <c r="C18" s="10"/>
      <c r="D18" s="10"/>
      <c r="E18" s="10"/>
      <c r="F18" s="10"/>
      <c r="G18" s="10"/>
      <c r="H18" s="10"/>
      <c r="I18" s="10"/>
      <c r="J18" s="10"/>
      <c r="K18" s="10"/>
      <c r="L18" s="10"/>
      <c r="M18" s="10"/>
      <c r="N18" s="10"/>
      <c r="O18" s="10"/>
      <c r="P18" s="10"/>
      <c r="Q18" s="10"/>
      <c r="R18" s="10"/>
      <c r="S18" s="10"/>
      <c r="T18" s="12"/>
    </row>
    <row r="19" spans="1:20">
      <c r="A19" s="9"/>
      <c r="B19" s="10"/>
      <c r="C19" s="10"/>
      <c r="D19" s="10"/>
      <c r="E19" s="10"/>
      <c r="F19" s="10"/>
      <c r="G19" s="10"/>
      <c r="H19" s="10"/>
      <c r="I19" s="10"/>
      <c r="J19" s="10"/>
      <c r="K19" s="10"/>
      <c r="L19" s="10"/>
      <c r="M19" s="10"/>
      <c r="N19" s="10"/>
      <c r="O19" s="10"/>
      <c r="P19" s="10"/>
      <c r="Q19" s="10"/>
      <c r="R19" s="10"/>
      <c r="S19" s="10"/>
      <c r="T19" s="12"/>
    </row>
    <row r="20" spans="1:20">
      <c r="A20" s="9"/>
      <c r="B20" s="10"/>
      <c r="C20" s="10"/>
      <c r="D20" s="10"/>
      <c r="E20" s="10"/>
      <c r="F20" s="10"/>
      <c r="G20" s="10"/>
      <c r="H20" s="10"/>
      <c r="I20" s="10"/>
      <c r="J20" s="10"/>
      <c r="K20" s="10"/>
      <c r="L20" s="10"/>
      <c r="M20" s="10"/>
      <c r="N20" s="10"/>
      <c r="O20" s="10"/>
      <c r="P20" s="10"/>
      <c r="Q20" s="10"/>
      <c r="R20" s="10"/>
      <c r="S20" s="10"/>
      <c r="T20" s="12"/>
    </row>
    <row r="21" spans="1:20">
      <c r="A21" s="9"/>
      <c r="B21" s="10"/>
      <c r="C21" s="10"/>
      <c r="D21" s="10"/>
      <c r="E21" s="10"/>
      <c r="F21" s="10"/>
      <c r="G21" s="10"/>
      <c r="H21" s="10"/>
      <c r="I21" s="10"/>
      <c r="J21" s="10"/>
      <c r="K21" s="10"/>
      <c r="L21" s="10"/>
      <c r="M21" s="10"/>
      <c r="N21" s="10"/>
      <c r="O21" s="10"/>
      <c r="P21" s="10"/>
      <c r="Q21" s="10"/>
      <c r="R21" s="10"/>
      <c r="S21" s="10"/>
      <c r="T21" s="12"/>
    </row>
    <row r="22" spans="1:20">
      <c r="A22" s="9"/>
      <c r="B22" s="10"/>
      <c r="C22" s="10"/>
      <c r="D22" s="10"/>
      <c r="E22" s="10"/>
      <c r="F22" s="10"/>
      <c r="G22" s="10"/>
      <c r="H22" s="10"/>
      <c r="I22" s="10"/>
      <c r="J22" s="10"/>
      <c r="K22" s="10"/>
      <c r="L22" s="10"/>
      <c r="M22" s="10"/>
      <c r="N22" s="10"/>
      <c r="O22" s="10"/>
      <c r="P22" s="10"/>
      <c r="Q22" s="10"/>
      <c r="R22" s="10"/>
      <c r="S22" s="10"/>
      <c r="T22" s="12"/>
    </row>
    <row r="23" spans="1:20" ht="96" customHeight="1">
      <c r="A23" s="9"/>
      <c r="B23" s="585" t="s">
        <v>1114</v>
      </c>
      <c r="C23" s="586"/>
      <c r="D23" s="586"/>
      <c r="E23" s="586"/>
      <c r="F23" s="586"/>
      <c r="G23" s="586"/>
      <c r="H23" s="586"/>
      <c r="I23" s="586"/>
      <c r="J23" s="586"/>
      <c r="K23" s="586"/>
      <c r="L23" s="586"/>
      <c r="M23" s="586"/>
      <c r="N23" s="586"/>
      <c r="O23" s="586"/>
      <c r="P23" s="586"/>
      <c r="Q23" s="586"/>
      <c r="R23" s="586"/>
      <c r="S23" s="587"/>
      <c r="T23" s="12"/>
    </row>
    <row r="24" spans="1:20">
      <c r="A24" s="9"/>
      <c r="B24" s="10"/>
      <c r="C24" s="10"/>
      <c r="D24" s="10"/>
      <c r="E24" s="10"/>
      <c r="F24" s="10"/>
      <c r="G24" s="10"/>
      <c r="H24" s="10"/>
      <c r="I24" s="10"/>
      <c r="J24" s="10"/>
      <c r="K24" s="10"/>
      <c r="L24" s="10"/>
      <c r="M24" s="10"/>
      <c r="N24" s="10"/>
      <c r="O24" s="10"/>
      <c r="P24" s="10"/>
      <c r="Q24" s="10"/>
      <c r="R24" s="10"/>
      <c r="S24" s="10"/>
      <c r="T24" s="12"/>
    </row>
    <row r="25" spans="1:20" ht="66" customHeight="1">
      <c r="A25" s="9"/>
      <c r="B25" s="588" t="s">
        <v>1115</v>
      </c>
      <c r="C25" s="589"/>
      <c r="D25" s="589"/>
      <c r="E25" s="589"/>
      <c r="F25" s="589"/>
      <c r="G25" s="589"/>
      <c r="H25" s="589"/>
      <c r="I25" s="589"/>
      <c r="J25" s="589"/>
      <c r="K25" s="589"/>
      <c r="L25" s="589"/>
      <c r="M25" s="589"/>
      <c r="N25" s="589"/>
      <c r="O25" s="589"/>
      <c r="P25" s="589"/>
      <c r="Q25" s="589"/>
      <c r="R25" s="589"/>
      <c r="S25" s="590"/>
      <c r="T25" s="12"/>
    </row>
    <row r="26" spans="1:20">
      <c r="A26" s="9"/>
      <c r="B26" s="10"/>
      <c r="C26" s="10"/>
      <c r="D26" s="10"/>
      <c r="E26" s="10"/>
      <c r="F26" s="10"/>
      <c r="G26" s="10"/>
      <c r="H26" s="10"/>
      <c r="I26" s="10"/>
      <c r="J26" s="10"/>
      <c r="K26" s="10"/>
      <c r="L26" s="10"/>
      <c r="M26" s="10"/>
      <c r="N26" s="10"/>
      <c r="O26" s="10"/>
      <c r="P26" s="10"/>
      <c r="Q26" s="10"/>
      <c r="R26" s="10"/>
      <c r="S26" s="10"/>
      <c r="T26" s="12"/>
    </row>
    <row r="27" spans="1:20" ht="99.45" customHeight="1">
      <c r="A27" s="9"/>
      <c r="B27" s="591" t="s">
        <v>1116</v>
      </c>
      <c r="C27" s="592"/>
      <c r="D27" s="592"/>
      <c r="E27" s="592"/>
      <c r="F27" s="592"/>
      <c r="G27" s="592"/>
      <c r="H27" s="592"/>
      <c r="I27" s="592"/>
      <c r="J27" s="592"/>
      <c r="K27" s="592"/>
      <c r="L27" s="592"/>
      <c r="M27" s="592"/>
      <c r="N27" s="592"/>
      <c r="O27" s="592"/>
      <c r="P27" s="592"/>
      <c r="Q27" s="592"/>
      <c r="R27" s="592"/>
      <c r="S27" s="593"/>
      <c r="T27" s="12"/>
    </row>
    <row r="28" spans="1:20">
      <c r="A28" s="9"/>
      <c r="B28" s="10"/>
      <c r="C28" s="10"/>
      <c r="D28" s="10"/>
      <c r="E28" s="10"/>
      <c r="F28" s="10"/>
      <c r="G28" s="10"/>
      <c r="H28" s="10"/>
      <c r="I28" s="10"/>
      <c r="J28" s="10"/>
      <c r="K28" s="10"/>
      <c r="L28" s="10"/>
      <c r="M28" s="10"/>
      <c r="N28" s="10"/>
      <c r="O28" s="10"/>
      <c r="P28" s="10"/>
      <c r="Q28" s="10"/>
      <c r="R28" s="10"/>
      <c r="S28" s="10"/>
      <c r="T28" s="12"/>
    </row>
    <row r="29" spans="1:20" ht="114.6" customHeight="1">
      <c r="A29" s="9"/>
      <c r="B29" s="591" t="s">
        <v>1117</v>
      </c>
      <c r="C29" s="592"/>
      <c r="D29" s="592"/>
      <c r="E29" s="592"/>
      <c r="F29" s="592"/>
      <c r="G29" s="592"/>
      <c r="H29" s="592"/>
      <c r="I29" s="592"/>
      <c r="J29" s="592"/>
      <c r="K29" s="592"/>
      <c r="L29" s="592"/>
      <c r="M29" s="592"/>
      <c r="N29" s="592"/>
      <c r="O29" s="592"/>
      <c r="P29" s="592"/>
      <c r="Q29" s="592"/>
      <c r="R29" s="592"/>
      <c r="S29" s="593"/>
      <c r="T29" s="12"/>
    </row>
    <row r="30" spans="1:20">
      <c r="A30" s="9"/>
      <c r="B30" s="10"/>
      <c r="C30" s="10"/>
      <c r="D30" s="10"/>
      <c r="E30" s="10"/>
      <c r="F30" s="10"/>
      <c r="G30" s="10"/>
      <c r="H30" s="10"/>
      <c r="I30" s="10"/>
      <c r="J30" s="10"/>
      <c r="K30" s="10"/>
      <c r="L30" s="10"/>
      <c r="M30" s="10"/>
      <c r="N30" s="10"/>
      <c r="O30" s="10"/>
      <c r="P30" s="10"/>
      <c r="Q30" s="10"/>
      <c r="R30" s="10"/>
      <c r="S30" s="10"/>
      <c r="T30" s="12"/>
    </row>
    <row r="31" spans="1:20" ht="63" customHeight="1">
      <c r="A31" s="9"/>
      <c r="B31" s="579" t="s">
        <v>1118</v>
      </c>
      <c r="C31" s="580"/>
      <c r="D31" s="580"/>
      <c r="E31" s="580"/>
      <c r="F31" s="580"/>
      <c r="G31" s="580"/>
      <c r="H31" s="580"/>
      <c r="I31" s="580"/>
      <c r="J31" s="580"/>
      <c r="K31" s="580"/>
      <c r="L31" s="580"/>
      <c r="M31" s="580"/>
      <c r="N31" s="580"/>
      <c r="O31" s="580"/>
      <c r="P31" s="580"/>
      <c r="Q31" s="580"/>
      <c r="R31" s="580"/>
      <c r="S31" s="581"/>
      <c r="T31" s="12"/>
    </row>
    <row r="32" spans="1:20">
      <c r="A32" s="9"/>
      <c r="B32" s="10"/>
      <c r="C32" s="10"/>
      <c r="D32" s="10"/>
      <c r="E32" s="10"/>
      <c r="F32" s="10"/>
      <c r="G32" s="10"/>
      <c r="H32" s="10"/>
      <c r="I32" s="10"/>
      <c r="J32" s="10"/>
      <c r="K32" s="10"/>
      <c r="L32" s="10"/>
      <c r="M32" s="10"/>
      <c r="N32" s="10"/>
      <c r="O32" s="10"/>
      <c r="P32" s="10"/>
      <c r="Q32" s="10"/>
      <c r="R32" s="10"/>
      <c r="S32" s="10"/>
      <c r="T32" s="12"/>
    </row>
    <row r="33" spans="1:20" ht="15.6" thickBot="1">
      <c r="A33" s="14"/>
      <c r="B33" s="15"/>
      <c r="C33" s="15"/>
      <c r="D33" s="15"/>
      <c r="E33" s="15"/>
      <c r="F33" s="15"/>
      <c r="G33" s="15"/>
      <c r="H33" s="15"/>
      <c r="I33" s="15"/>
      <c r="J33" s="15"/>
      <c r="K33" s="15"/>
      <c r="L33" s="15"/>
      <c r="M33" s="15"/>
      <c r="N33" s="15"/>
      <c r="O33" s="15"/>
      <c r="P33" s="15"/>
      <c r="Q33" s="15"/>
      <c r="R33" s="15"/>
      <c r="S33" s="15"/>
      <c r="T33" s="16"/>
    </row>
  </sheetData>
  <mergeCells count="6">
    <mergeCell ref="B31:S31"/>
    <mergeCell ref="A1:T1"/>
    <mergeCell ref="B23:S23"/>
    <mergeCell ref="B25:S25"/>
    <mergeCell ref="B27:S27"/>
    <mergeCell ref="B29:S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7DEB-E629-48D8-801C-D9CA313CE0F9}">
  <sheetPr codeName="Sheet6">
    <tabColor theme="7" tint="0.39997558519241921"/>
  </sheetPr>
  <dimension ref="A1:K34"/>
  <sheetViews>
    <sheetView showGridLines="0" topLeftCell="A6" workbookViewId="0">
      <selection activeCell="P30" sqref="P30"/>
    </sheetView>
  </sheetViews>
  <sheetFormatPr defaultColWidth="8.77734375" defaultRowHeight="15"/>
  <cols>
    <col min="1" max="1" width="8.77734375" style="91"/>
    <col min="2" max="10" width="11.77734375" style="91" customWidth="1"/>
    <col min="11" max="16384" width="8.77734375" style="91"/>
  </cols>
  <sheetData>
    <row r="1" spans="1:11" s="90" customFormat="1" ht="75.45" customHeight="1" thickBot="1">
      <c r="A1" s="596" t="s">
        <v>239</v>
      </c>
      <c r="B1" s="597"/>
      <c r="C1" s="597"/>
      <c r="D1" s="597"/>
      <c r="E1" s="597"/>
      <c r="F1" s="597"/>
      <c r="G1" s="597"/>
      <c r="H1" s="597"/>
      <c r="I1" s="597"/>
      <c r="J1" s="597"/>
      <c r="K1" s="598"/>
    </row>
    <row r="2" spans="1:11" ht="15.6" customHeight="1">
      <c r="A2" s="143"/>
      <c r="B2" s="144"/>
      <c r="C2" s="144"/>
      <c r="D2" s="145"/>
      <c r="E2" s="145"/>
      <c r="F2" s="145"/>
      <c r="G2" s="145"/>
      <c r="H2" s="145"/>
      <c r="I2" s="145"/>
      <c r="J2" s="145"/>
      <c r="K2" s="146"/>
    </row>
    <row r="3" spans="1:11" ht="15.6" customHeight="1">
      <c r="A3" s="9"/>
      <c r="B3" s="10"/>
      <c r="C3" s="10"/>
      <c r="D3" s="10"/>
      <c r="E3" s="10"/>
      <c r="F3" s="10"/>
      <c r="G3" s="10"/>
      <c r="H3" s="10"/>
      <c r="I3" s="10"/>
      <c r="J3" s="10"/>
      <c r="K3" s="147"/>
    </row>
    <row r="4" spans="1:11">
      <c r="A4" s="9"/>
      <c r="B4" s="599" t="s">
        <v>906</v>
      </c>
      <c r="C4" s="600"/>
      <c r="D4" s="600"/>
      <c r="E4" s="600"/>
      <c r="F4" s="600"/>
      <c r="G4" s="600"/>
      <c r="H4" s="600"/>
      <c r="I4" s="600"/>
      <c r="J4" s="601"/>
      <c r="K4" s="147"/>
    </row>
    <row r="5" spans="1:11">
      <c r="A5" s="9"/>
      <c r="B5" s="602"/>
      <c r="C5" s="603"/>
      <c r="D5" s="603"/>
      <c r="E5" s="603"/>
      <c r="F5" s="603"/>
      <c r="G5" s="603"/>
      <c r="H5" s="603"/>
      <c r="I5" s="603"/>
      <c r="J5" s="604"/>
      <c r="K5" s="147"/>
    </row>
    <row r="6" spans="1:11">
      <c r="A6" s="9"/>
      <c r="B6" s="602"/>
      <c r="C6" s="603"/>
      <c r="D6" s="603"/>
      <c r="E6" s="603"/>
      <c r="F6" s="603"/>
      <c r="G6" s="603"/>
      <c r="H6" s="603"/>
      <c r="I6" s="603"/>
      <c r="J6" s="604"/>
      <c r="K6" s="147"/>
    </row>
    <row r="7" spans="1:11">
      <c r="A7" s="9"/>
      <c r="B7" s="602"/>
      <c r="C7" s="603"/>
      <c r="D7" s="603"/>
      <c r="E7" s="603"/>
      <c r="F7" s="603"/>
      <c r="G7" s="603"/>
      <c r="H7" s="603"/>
      <c r="I7" s="603"/>
      <c r="J7" s="604"/>
      <c r="K7" s="147"/>
    </row>
    <row r="8" spans="1:11">
      <c r="A8" s="9"/>
      <c r="B8" s="602"/>
      <c r="C8" s="603"/>
      <c r="D8" s="603"/>
      <c r="E8" s="603"/>
      <c r="F8" s="603"/>
      <c r="G8" s="603"/>
      <c r="H8" s="603"/>
      <c r="I8" s="603"/>
      <c r="J8" s="604"/>
      <c r="K8" s="147"/>
    </row>
    <row r="9" spans="1:11">
      <c r="A9" s="9"/>
      <c r="B9" s="602"/>
      <c r="C9" s="603"/>
      <c r="D9" s="603"/>
      <c r="E9" s="603"/>
      <c r="F9" s="603"/>
      <c r="G9" s="603"/>
      <c r="H9" s="603"/>
      <c r="I9" s="603"/>
      <c r="J9" s="604"/>
      <c r="K9" s="147"/>
    </row>
    <row r="10" spans="1:11">
      <c r="A10" s="9"/>
      <c r="B10" s="602"/>
      <c r="C10" s="603"/>
      <c r="D10" s="603"/>
      <c r="E10" s="603"/>
      <c r="F10" s="603"/>
      <c r="G10" s="603"/>
      <c r="H10" s="603"/>
      <c r="I10" s="603"/>
      <c r="J10" s="604"/>
      <c r="K10" s="147"/>
    </row>
    <row r="11" spans="1:11">
      <c r="A11" s="9"/>
      <c r="B11" s="605"/>
      <c r="C11" s="606"/>
      <c r="D11" s="606"/>
      <c r="E11" s="606"/>
      <c r="F11" s="606"/>
      <c r="G11" s="606"/>
      <c r="H11" s="606"/>
      <c r="I11" s="606"/>
      <c r="J11" s="607"/>
      <c r="K11" s="147"/>
    </row>
    <row r="12" spans="1:11">
      <c r="A12" s="9"/>
      <c r="B12" s="10"/>
      <c r="C12" s="10"/>
      <c r="D12" s="149"/>
      <c r="E12" s="149"/>
      <c r="F12" s="149"/>
      <c r="G12" s="10"/>
      <c r="H12" s="10"/>
      <c r="I12" s="10"/>
      <c r="J12" s="10"/>
      <c r="K12" s="12"/>
    </row>
    <row r="13" spans="1:11">
      <c r="A13" s="9"/>
      <c r="B13" s="10"/>
      <c r="C13" s="10"/>
      <c r="D13" s="608" t="s">
        <v>1</v>
      </c>
      <c r="E13" s="608"/>
      <c r="F13" s="608"/>
      <c r="G13" s="198" t="s">
        <v>2</v>
      </c>
      <c r="H13" s="150" t="b">
        <v>1</v>
      </c>
      <c r="I13" s="10"/>
      <c r="J13" s="10"/>
      <c r="K13" s="12"/>
    </row>
    <row r="14" spans="1:11">
      <c r="A14" s="9"/>
      <c r="B14" s="10"/>
      <c r="C14" s="10"/>
      <c r="D14" s="608"/>
      <c r="E14" s="608"/>
      <c r="F14" s="608"/>
      <c r="G14" s="198" t="s">
        <v>3</v>
      </c>
      <c r="H14" s="150" t="b">
        <v>0</v>
      </c>
      <c r="I14" s="10"/>
      <c r="J14" s="10"/>
      <c r="K14" s="12"/>
    </row>
    <row r="15" spans="1:11">
      <c r="A15" s="9"/>
      <c r="B15" s="10"/>
      <c r="C15" s="10"/>
      <c r="D15" s="608"/>
      <c r="E15" s="608"/>
      <c r="F15" s="608"/>
      <c r="G15" s="198" t="s">
        <v>4</v>
      </c>
      <c r="H15" s="150" t="b">
        <v>1</v>
      </c>
      <c r="I15" s="10"/>
      <c r="J15" s="10"/>
      <c r="K15" s="12"/>
    </row>
    <row r="16" spans="1:11">
      <c r="A16" s="9"/>
      <c r="B16" s="10"/>
      <c r="C16" s="10"/>
      <c r="D16" s="608"/>
      <c r="E16" s="608"/>
      <c r="F16" s="608"/>
      <c r="G16" s="198" t="s">
        <v>5</v>
      </c>
      <c r="H16" s="150" t="b">
        <v>1</v>
      </c>
      <c r="I16" s="10"/>
      <c r="J16" s="10"/>
      <c r="K16" s="12"/>
    </row>
    <row r="17" spans="1:11">
      <c r="A17" s="9"/>
      <c r="B17" s="10"/>
      <c r="C17" s="10"/>
      <c r="D17" s="608"/>
      <c r="E17" s="608"/>
      <c r="F17" s="608"/>
      <c r="G17" s="198" t="s">
        <v>6</v>
      </c>
      <c r="H17" s="150" t="b">
        <v>0</v>
      </c>
      <c r="I17" s="10"/>
      <c r="J17" s="10"/>
      <c r="K17" s="12"/>
    </row>
    <row r="18" spans="1:11">
      <c r="A18" s="9"/>
      <c r="B18" s="10"/>
      <c r="C18" s="10"/>
      <c r="D18" s="10"/>
      <c r="E18" s="10"/>
      <c r="F18" s="10"/>
      <c r="G18" s="10"/>
      <c r="H18" s="10"/>
      <c r="I18" s="10"/>
      <c r="J18" s="10"/>
      <c r="K18" s="12"/>
    </row>
    <row r="19" spans="1:11">
      <c r="A19" s="9"/>
      <c r="B19" s="10"/>
      <c r="C19" s="10"/>
      <c r="D19" s="609" t="s">
        <v>7</v>
      </c>
      <c r="E19" s="609"/>
      <c r="F19" s="609"/>
      <c r="G19" s="198" t="s">
        <v>2</v>
      </c>
      <c r="H19" s="199" t="b">
        <v>0</v>
      </c>
      <c r="I19" s="10"/>
      <c r="J19" s="10"/>
      <c r="K19" s="12"/>
    </row>
    <row r="20" spans="1:11">
      <c r="A20" s="9"/>
      <c r="B20" s="10"/>
      <c r="C20" s="10"/>
      <c r="D20" s="609"/>
      <c r="E20" s="609"/>
      <c r="F20" s="609"/>
      <c r="G20" s="198" t="s">
        <v>3</v>
      </c>
      <c r="H20" s="199" t="b">
        <v>0</v>
      </c>
      <c r="I20" s="10"/>
      <c r="J20" s="10"/>
      <c r="K20" s="12"/>
    </row>
    <row r="21" spans="1:11">
      <c r="A21" s="9"/>
      <c r="B21" s="10"/>
      <c r="C21" s="10"/>
      <c r="D21" s="609"/>
      <c r="E21" s="609"/>
      <c r="F21" s="609"/>
      <c r="G21" s="198" t="s">
        <v>4</v>
      </c>
      <c r="H21" s="199" t="b">
        <v>0</v>
      </c>
      <c r="I21" s="10"/>
      <c r="J21" s="10"/>
      <c r="K21" s="12"/>
    </row>
    <row r="22" spans="1:11">
      <c r="A22" s="9"/>
      <c r="B22" s="10"/>
      <c r="C22" s="10"/>
      <c r="D22" s="609"/>
      <c r="E22" s="609"/>
      <c r="F22" s="609"/>
      <c r="G22" s="198" t="s">
        <v>5</v>
      </c>
      <c r="H22" s="199" t="b">
        <v>1</v>
      </c>
      <c r="I22" s="10"/>
      <c r="J22" s="10"/>
      <c r="K22" s="12"/>
    </row>
    <row r="23" spans="1:11">
      <c r="A23" s="9"/>
      <c r="B23" s="10"/>
      <c r="C23" s="10"/>
      <c r="D23" s="609"/>
      <c r="E23" s="609"/>
      <c r="F23" s="609"/>
      <c r="G23" s="198" t="s">
        <v>6</v>
      </c>
      <c r="H23" s="199" t="b">
        <v>0</v>
      </c>
      <c r="I23" s="10"/>
      <c r="J23" s="10"/>
      <c r="K23" s="12"/>
    </row>
    <row r="24" spans="1:11">
      <c r="A24" s="9"/>
      <c r="B24" s="10"/>
      <c r="C24" s="10"/>
      <c r="D24" s="10"/>
      <c r="E24" s="10"/>
      <c r="F24" s="10"/>
      <c r="G24" s="10"/>
      <c r="H24" s="10"/>
      <c r="I24" s="10"/>
      <c r="J24" s="10"/>
      <c r="K24" s="12"/>
    </row>
    <row r="25" spans="1:11">
      <c r="A25" s="9"/>
      <c r="B25" s="10"/>
      <c r="C25" s="10"/>
      <c r="D25" s="594" t="s">
        <v>824</v>
      </c>
      <c r="E25" s="594"/>
      <c r="F25" s="594"/>
      <c r="G25" s="595" t="s">
        <v>825</v>
      </c>
      <c r="H25" s="595"/>
      <c r="I25" s="10"/>
      <c r="J25" s="10"/>
      <c r="K25" s="12"/>
    </row>
    <row r="26" spans="1:11">
      <c r="A26" s="9"/>
      <c r="B26" s="10"/>
      <c r="C26" s="10"/>
      <c r="D26" s="594"/>
      <c r="E26" s="594"/>
      <c r="F26" s="594"/>
      <c r="G26" s="595"/>
      <c r="H26" s="595"/>
      <c r="I26" s="10"/>
      <c r="J26" s="10"/>
      <c r="K26" s="12"/>
    </row>
    <row r="27" spans="1:11">
      <c r="A27" s="9"/>
      <c r="B27" s="10"/>
      <c r="C27" s="10"/>
      <c r="D27" s="594"/>
      <c r="E27" s="594"/>
      <c r="F27" s="594"/>
      <c r="G27" s="595"/>
      <c r="H27" s="595"/>
      <c r="I27" s="10"/>
      <c r="J27" s="10"/>
      <c r="K27" s="12"/>
    </row>
    <row r="28" spans="1:11">
      <c r="A28" s="9"/>
      <c r="B28" s="10"/>
      <c r="C28" s="10"/>
      <c r="D28" s="594"/>
      <c r="E28" s="594"/>
      <c r="F28" s="594"/>
      <c r="G28" s="595"/>
      <c r="H28" s="595"/>
      <c r="I28" s="10"/>
      <c r="J28" s="10"/>
      <c r="K28" s="12"/>
    </row>
    <row r="29" spans="1:11" ht="15.45" customHeight="1">
      <c r="A29" s="9"/>
      <c r="B29" s="10"/>
      <c r="C29" s="10"/>
      <c r="D29" s="439"/>
      <c r="E29" s="439"/>
      <c r="F29" s="439"/>
      <c r="G29" s="11"/>
      <c r="H29" s="11"/>
      <c r="I29" s="10"/>
      <c r="J29" s="10"/>
      <c r="K29" s="12"/>
    </row>
    <row r="30" spans="1:11">
      <c r="A30" s="9"/>
      <c r="B30" s="10"/>
      <c r="C30" s="10"/>
      <c r="D30" s="594" t="s">
        <v>817</v>
      </c>
      <c r="E30" s="594"/>
      <c r="F30" s="594"/>
      <c r="G30" s="440" t="s">
        <v>0</v>
      </c>
      <c r="H30" s="441">
        <v>3</v>
      </c>
      <c r="I30" s="10"/>
      <c r="J30" s="10"/>
      <c r="K30" s="12"/>
    </row>
    <row r="31" spans="1:11">
      <c r="A31" s="9"/>
      <c r="B31" s="10"/>
      <c r="C31" s="10"/>
      <c r="D31" s="594"/>
      <c r="E31" s="594"/>
      <c r="F31" s="594"/>
      <c r="G31" s="440" t="s">
        <v>3</v>
      </c>
      <c r="H31" s="441">
        <v>4</v>
      </c>
      <c r="I31" s="10"/>
      <c r="J31" s="10"/>
      <c r="K31" s="12"/>
    </row>
    <row r="32" spans="1:11">
      <c r="A32" s="9"/>
      <c r="B32" s="10"/>
      <c r="C32" s="10"/>
      <c r="D32" s="594"/>
      <c r="E32" s="594"/>
      <c r="F32" s="594"/>
      <c r="G32" s="440" t="s">
        <v>4</v>
      </c>
      <c r="H32" s="441">
        <v>2</v>
      </c>
      <c r="I32" s="10"/>
      <c r="J32" s="10"/>
      <c r="K32" s="12"/>
    </row>
    <row r="33" spans="1:11">
      <c r="A33" s="9"/>
      <c r="B33" s="10"/>
      <c r="C33" s="10"/>
      <c r="D33" s="594"/>
      <c r="E33" s="594"/>
      <c r="F33" s="594"/>
      <c r="G33" s="440" t="s">
        <v>5</v>
      </c>
      <c r="H33" s="441">
        <v>1</v>
      </c>
      <c r="I33" s="10"/>
      <c r="J33" s="10"/>
      <c r="K33" s="12"/>
    </row>
    <row r="34" spans="1:11" ht="15.6" thickBot="1">
      <c r="A34" s="14"/>
      <c r="B34" s="15"/>
      <c r="C34" s="15"/>
      <c r="D34" s="15"/>
      <c r="E34" s="15"/>
      <c r="F34" s="15"/>
      <c r="G34" s="15"/>
      <c r="H34" s="15"/>
      <c r="I34" s="15"/>
      <c r="J34" s="15"/>
      <c r="K34" s="16"/>
    </row>
  </sheetData>
  <mergeCells count="7">
    <mergeCell ref="D30:F33"/>
    <mergeCell ref="D25:F28"/>
    <mergeCell ref="G25:H28"/>
    <mergeCell ref="A1:K1"/>
    <mergeCell ref="B4:J11"/>
    <mergeCell ref="D13:F17"/>
    <mergeCell ref="D19:F23"/>
  </mergeCells>
  <phoneticPr fontId="5" type="noConversion"/>
  <conditionalFormatting sqref="G13">
    <cfRule type="expression" dxfId="694" priority="6">
      <formula>$H$13</formula>
    </cfRule>
  </conditionalFormatting>
  <conditionalFormatting sqref="G14">
    <cfRule type="expression" dxfId="693" priority="5">
      <formula>$H$14</formula>
    </cfRule>
  </conditionalFormatting>
  <conditionalFormatting sqref="G15">
    <cfRule type="expression" dxfId="692" priority="4">
      <formula>$H$15</formula>
    </cfRule>
  </conditionalFormatting>
  <conditionalFormatting sqref="G16">
    <cfRule type="expression" dxfId="691" priority="3">
      <formula>$H$16</formula>
    </cfRule>
  </conditionalFormatting>
  <conditionalFormatting sqref="G17">
    <cfRule type="expression" dxfId="690" priority="2">
      <formula>$H$17</formula>
    </cfRule>
  </conditionalFormatting>
  <conditionalFormatting sqref="G19:H21 G23:H23">
    <cfRule type="expression" dxfId="689" priority="1">
      <formula>$H$22</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D83E-3F83-4F24-8689-F135EBA379D8}">
  <sheetPr codeName="Sheet5">
    <tabColor theme="7" tint="0.39997558519241921"/>
  </sheetPr>
  <dimension ref="A1:G20"/>
  <sheetViews>
    <sheetView showGridLines="0" workbookViewId="0">
      <selection activeCell="K9" sqref="K9"/>
    </sheetView>
  </sheetViews>
  <sheetFormatPr defaultColWidth="8.77734375" defaultRowHeight="15"/>
  <cols>
    <col min="1" max="1" width="40.33203125" style="91" bestFit="1" customWidth="1"/>
    <col min="2" max="2" width="20" style="91" customWidth="1"/>
    <col min="3" max="3" width="14.5546875" style="91" customWidth="1"/>
    <col min="4" max="4" width="37.33203125" style="91" customWidth="1"/>
    <col min="5" max="6" width="19.44140625" style="91" customWidth="1"/>
    <col min="7" max="7" width="24.77734375" style="91" customWidth="1"/>
    <col min="8" max="16384" width="8.77734375" style="91"/>
  </cols>
  <sheetData>
    <row r="1" spans="1:7" ht="74.55" customHeight="1">
      <c r="A1" s="613" t="s">
        <v>407</v>
      </c>
      <c r="B1" s="614"/>
      <c r="C1" s="614"/>
      <c r="D1" s="614"/>
      <c r="E1" s="614"/>
      <c r="F1" s="614"/>
      <c r="G1" s="615"/>
    </row>
    <row r="2" spans="1:7" ht="15.45" customHeight="1">
      <c r="A2" s="616" t="s">
        <v>80</v>
      </c>
      <c r="B2" s="617"/>
      <c r="C2" s="617"/>
      <c r="D2" s="617"/>
      <c r="E2" s="617"/>
      <c r="F2" s="617"/>
      <c r="G2" s="618"/>
    </row>
    <row r="3" spans="1:7" ht="15.45" customHeight="1">
      <c r="A3" s="503" t="s">
        <v>357</v>
      </c>
      <c r="B3" s="637"/>
      <c r="C3" s="638"/>
      <c r="D3" s="638"/>
      <c r="E3" s="638"/>
      <c r="F3" s="638"/>
      <c r="G3" s="639"/>
    </row>
    <row r="4" spans="1:7" ht="15.45" customHeight="1">
      <c r="A4" s="504" t="s">
        <v>526</v>
      </c>
      <c r="B4" s="640"/>
      <c r="C4" s="640"/>
      <c r="D4" s="148" t="s">
        <v>359</v>
      </c>
      <c r="E4" s="640"/>
      <c r="F4" s="640"/>
      <c r="G4" s="643"/>
    </row>
    <row r="5" spans="1:7" ht="15.45" customHeight="1">
      <c r="A5" s="504" t="s">
        <v>557</v>
      </c>
      <c r="B5" s="641" t="e">
        <f>VLOOKUP(B4,DropdownORNamemanagerLists!B20:C58,2,FALSE)</f>
        <v>#N/A</v>
      </c>
      <c r="C5" s="641"/>
      <c r="D5" s="148" t="s">
        <v>81</v>
      </c>
      <c r="E5" s="640"/>
      <c r="F5" s="640"/>
      <c r="G5" s="643"/>
    </row>
    <row r="6" spans="1:7" ht="15.45" customHeight="1">
      <c r="A6" s="504" t="s">
        <v>82</v>
      </c>
      <c r="B6" s="640"/>
      <c r="C6" s="640"/>
      <c r="D6" s="148" t="s">
        <v>360</v>
      </c>
      <c r="E6" s="610"/>
      <c r="F6" s="611"/>
      <c r="G6" s="612"/>
    </row>
    <row r="7" spans="1:7">
      <c r="A7" s="505" t="s">
        <v>358</v>
      </c>
      <c r="B7" s="610"/>
      <c r="C7" s="642"/>
      <c r="D7" s="10"/>
      <c r="E7" s="621"/>
      <c r="F7" s="621"/>
      <c r="G7" s="622"/>
    </row>
    <row r="8" spans="1:7">
      <c r="A8" s="9"/>
      <c r="B8" s="10"/>
      <c r="C8" s="10"/>
      <c r="D8" s="10"/>
      <c r="E8" s="502"/>
      <c r="F8" s="10"/>
      <c r="G8" s="12"/>
    </row>
    <row r="9" spans="1:7">
      <c r="A9" s="652" t="s">
        <v>1065</v>
      </c>
      <c r="B9" s="620"/>
      <c r="C9" s="620"/>
      <c r="D9" s="620" t="s">
        <v>1067</v>
      </c>
      <c r="E9" s="620"/>
      <c r="F9" s="620"/>
      <c r="G9" s="499" t="b">
        <v>0</v>
      </c>
    </row>
    <row r="10" spans="1:7">
      <c r="A10" s="652"/>
      <c r="B10" s="620"/>
      <c r="C10" s="620"/>
      <c r="D10" s="620" t="s">
        <v>1066</v>
      </c>
      <c r="E10" s="620"/>
      <c r="F10" s="620"/>
      <c r="G10" s="499" t="b">
        <v>0</v>
      </c>
    </row>
    <row r="11" spans="1:7">
      <c r="A11" s="652"/>
      <c r="B11" s="620"/>
      <c r="C11" s="620"/>
      <c r="D11" s="620" t="s">
        <v>1068</v>
      </c>
      <c r="E11" s="620"/>
      <c r="F11" s="620"/>
      <c r="G11" s="499" t="b">
        <v>0</v>
      </c>
    </row>
    <row r="12" spans="1:7">
      <c r="A12" s="652"/>
      <c r="B12" s="620"/>
      <c r="C12" s="620"/>
      <c r="D12" s="620" t="s">
        <v>1069</v>
      </c>
      <c r="E12" s="620"/>
      <c r="F12" s="620"/>
      <c r="G12" s="499" t="b">
        <v>0</v>
      </c>
    </row>
    <row r="13" spans="1:7">
      <c r="A13" s="652"/>
      <c r="B13" s="620"/>
      <c r="C13" s="620"/>
      <c r="D13" s="620" t="s">
        <v>1070</v>
      </c>
      <c r="E13" s="620"/>
      <c r="F13" s="620"/>
      <c r="G13" s="499" t="b">
        <v>0</v>
      </c>
    </row>
    <row r="14" spans="1:7">
      <c r="A14" s="27"/>
      <c r="B14" s="22"/>
      <c r="C14" s="22"/>
      <c r="D14" s="32"/>
      <c r="E14" s="22"/>
      <c r="F14" s="22"/>
      <c r="G14" s="23"/>
    </row>
    <row r="15" spans="1:7" ht="15.45" customHeight="1">
      <c r="A15" s="623" t="s">
        <v>1006</v>
      </c>
      <c r="B15" s="624"/>
      <c r="C15" s="625"/>
      <c r="D15" s="330" t="s">
        <v>614</v>
      </c>
      <c r="E15" s="619" t="s">
        <v>942</v>
      </c>
      <c r="F15" s="619"/>
      <c r="G15" s="519" t="s">
        <v>623</v>
      </c>
    </row>
    <row r="16" spans="1:7">
      <c r="A16" s="644"/>
      <c r="B16" s="645"/>
      <c r="C16" s="646"/>
      <c r="D16" s="650"/>
      <c r="E16" s="651"/>
      <c r="F16" s="651"/>
      <c r="G16" s="635"/>
    </row>
    <row r="17" spans="1:7">
      <c r="A17" s="647"/>
      <c r="B17" s="648"/>
      <c r="C17" s="649"/>
      <c r="D17" s="650"/>
      <c r="E17" s="651"/>
      <c r="F17" s="651"/>
      <c r="G17" s="636"/>
    </row>
    <row r="18" spans="1:7">
      <c r="A18" s="9"/>
      <c r="B18" s="10"/>
      <c r="C18" s="10"/>
      <c r="D18" s="10"/>
      <c r="E18" s="10"/>
      <c r="F18" s="10"/>
      <c r="G18" s="12"/>
    </row>
    <row r="19" spans="1:7" ht="19.5" customHeight="1">
      <c r="A19" s="623" t="s">
        <v>1029</v>
      </c>
      <c r="B19" s="624"/>
      <c r="C19" s="625"/>
      <c r="D19" s="629" t="s">
        <v>934</v>
      </c>
      <c r="E19" s="630"/>
      <c r="F19" s="631"/>
      <c r="G19" s="520" t="b">
        <v>0</v>
      </c>
    </row>
    <row r="20" spans="1:7" ht="19.5" customHeight="1" thickBot="1">
      <c r="A20" s="626"/>
      <c r="B20" s="627"/>
      <c r="C20" s="628"/>
      <c r="D20" s="632" t="s">
        <v>935</v>
      </c>
      <c r="E20" s="633"/>
      <c r="F20" s="634"/>
      <c r="G20" s="521" t="b">
        <v>0</v>
      </c>
    </row>
  </sheetData>
  <mergeCells count="25">
    <mergeCell ref="A19:C20"/>
    <mergeCell ref="D19:F19"/>
    <mergeCell ref="D20:F20"/>
    <mergeCell ref="G16:G17"/>
    <mergeCell ref="B3:G3"/>
    <mergeCell ref="B4:C4"/>
    <mergeCell ref="B5:C5"/>
    <mergeCell ref="B6:C6"/>
    <mergeCell ref="B7:C7"/>
    <mergeCell ref="E4:G4"/>
    <mergeCell ref="E5:G5"/>
    <mergeCell ref="A15:C17"/>
    <mergeCell ref="D16:D17"/>
    <mergeCell ref="E16:F17"/>
    <mergeCell ref="A9:C13"/>
    <mergeCell ref="D9:F9"/>
    <mergeCell ref="E6:G6"/>
    <mergeCell ref="A1:G1"/>
    <mergeCell ref="A2:G2"/>
    <mergeCell ref="E15:F15"/>
    <mergeCell ref="D10:F10"/>
    <mergeCell ref="D11:F11"/>
    <mergeCell ref="D12:F12"/>
    <mergeCell ref="D13:F13"/>
    <mergeCell ref="E7:G7"/>
  </mergeCells>
  <conditionalFormatting sqref="D16:E16 D17">
    <cfRule type="expression" dxfId="688" priority="15">
      <formula>ISNUMBER($L$99)</formula>
    </cfRule>
  </conditionalFormatting>
  <conditionalFormatting sqref="D9:G9 D11:G13">
    <cfRule type="expression" dxfId="687" priority="6">
      <formula>$G$10</formula>
    </cfRule>
  </conditionalFormatting>
  <conditionalFormatting sqref="D9:G10 D12:G13">
    <cfRule type="expression" dxfId="686" priority="5">
      <formula>$G$11</formula>
    </cfRule>
  </conditionalFormatting>
  <conditionalFormatting sqref="D9:G11 D13:G13">
    <cfRule type="expression" dxfId="685" priority="4">
      <formula>$G$12</formula>
    </cfRule>
  </conditionalFormatting>
  <conditionalFormatting sqref="D9:G12">
    <cfRule type="expression" dxfId="684" priority="3">
      <formula>$G$13</formula>
    </cfRule>
  </conditionalFormatting>
  <conditionalFormatting sqref="D10:G13">
    <cfRule type="expression" dxfId="683" priority="7">
      <formula>$G$9</formula>
    </cfRule>
  </conditionalFormatting>
  <conditionalFormatting sqref="D19:G19">
    <cfRule type="expression" dxfId="682" priority="1">
      <formula>$G$20</formula>
    </cfRule>
  </conditionalFormatting>
  <conditionalFormatting sqref="D20:G20">
    <cfRule type="expression" dxfId="681" priority="2">
      <formula>$G$19</formula>
    </cfRule>
  </conditionalFormatting>
  <conditionalFormatting sqref="E16">
    <cfRule type="expression" dxfId="680" priority="14">
      <formula>ISNUMBER($M$99)</formula>
    </cfRule>
  </conditionalFormatting>
  <dataValidations xWindow="153" yWindow="552" count="2">
    <dataValidation type="list" allowBlank="1" showInputMessage="1" showErrorMessage="1" sqref="B4" xr:uid="{6B2E4D8B-2312-4FFD-9AEA-777CEFDFC7BE}">
      <formula1>End_Use</formula1>
    </dataValidation>
    <dataValidation allowBlank="1" showInputMessage="1" showErrorMessage="1" promptTitle="Reporting Year" prompt="Enter the year (YYYY format) that corresponds to this data submission. For example, enter '2023' if reporting data from January 1 to December 31, 2023." sqref="A7" xr:uid="{5983DB24-6B40-4D23-B668-C3C19242F611}"/>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1F0A-BDD9-4DD0-A062-7F7CA5844F0B}">
  <sheetPr codeName="Sheet1">
    <tabColor theme="6" tint="0.39997558519241921"/>
  </sheetPr>
  <dimension ref="B1:AP595"/>
  <sheetViews>
    <sheetView showGridLines="0" topLeftCell="A20" zoomScale="85" zoomScaleNormal="85" workbookViewId="0">
      <selection activeCell="O20" sqref="O20"/>
    </sheetView>
  </sheetViews>
  <sheetFormatPr defaultColWidth="8.77734375" defaultRowHeight="15" customHeight="1"/>
  <cols>
    <col min="1" max="2" width="3.109375" style="92" customWidth="1"/>
    <col min="3" max="6" width="8.77734375" style="262" customWidth="1"/>
    <col min="7" max="9" width="3.21875" style="92" customWidth="1"/>
    <col min="10" max="10" width="9.33203125" style="93" bestFit="1" customWidth="1"/>
    <col min="11" max="13" width="15.6640625" style="207" customWidth="1"/>
    <col min="14" max="14" width="3.21875" style="92" customWidth="1"/>
    <col min="15" max="15" width="55.6640625" style="97" bestFit="1" customWidth="1"/>
    <col min="16" max="17" width="13.77734375" style="97" bestFit="1" customWidth="1"/>
    <col min="18" max="18" width="11.21875" style="92" bestFit="1" customWidth="1"/>
    <col min="19" max="19" width="9.88671875" style="94" bestFit="1" customWidth="1"/>
    <col min="20" max="20" width="3.21875" style="92" customWidth="1"/>
    <col min="21" max="24" width="9.88671875" style="92" customWidth="1"/>
    <col min="25" max="27" width="3.21875" style="92" customWidth="1"/>
    <col min="28" max="31" width="21" style="262" customWidth="1"/>
    <col min="32" max="32" width="3.21875" style="92" customWidth="1"/>
    <col min="33" max="33" width="7.77734375" style="92" customWidth="1"/>
    <col min="34" max="34" width="20" style="98" bestFit="1" customWidth="1"/>
    <col min="35" max="35" width="28.21875" style="98" customWidth="1"/>
    <col min="36" max="36" width="31.6640625" style="98" bestFit="1" customWidth="1"/>
    <col min="37" max="37" width="6.77734375" style="99" customWidth="1"/>
    <col min="38" max="38" width="20.5546875" style="98" bestFit="1" customWidth="1"/>
    <col min="39" max="39" width="14.5546875" style="98" bestFit="1" customWidth="1"/>
    <col min="40" max="40" width="14.5546875" style="94" bestFit="1" customWidth="1"/>
    <col min="41" max="41" width="18.5546875" style="94" bestFit="1" customWidth="1"/>
    <col min="42" max="42" width="8.77734375" style="99" customWidth="1"/>
    <col min="43" max="16384" width="8.77734375" style="92"/>
  </cols>
  <sheetData>
    <row r="1" spans="2:41" ht="18" thickBot="1"/>
    <row r="2" spans="2:41" ht="12.45" customHeight="1">
      <c r="B2" s="724" t="s">
        <v>61</v>
      </c>
      <c r="C2" s="725"/>
      <c r="D2" s="725"/>
      <c r="E2" s="725"/>
      <c r="F2" s="725"/>
      <c r="G2" s="726"/>
      <c r="H2" s="529"/>
      <c r="I2" s="724" t="s">
        <v>8</v>
      </c>
      <c r="J2" s="725"/>
      <c r="K2" s="725"/>
      <c r="L2" s="725"/>
      <c r="M2" s="725"/>
      <c r="N2" s="725"/>
      <c r="O2" s="725"/>
      <c r="P2" s="725"/>
      <c r="Q2" s="725"/>
      <c r="R2" s="725"/>
      <c r="S2" s="725"/>
      <c r="T2" s="725"/>
      <c r="U2" s="725"/>
      <c r="V2" s="725"/>
      <c r="W2" s="725"/>
      <c r="X2" s="725"/>
      <c r="Y2" s="726"/>
      <c r="Z2" s="529"/>
      <c r="AA2" s="724" t="s">
        <v>329</v>
      </c>
      <c r="AB2" s="725"/>
      <c r="AC2" s="725"/>
      <c r="AD2" s="725"/>
      <c r="AE2" s="725"/>
      <c r="AF2" s="726"/>
      <c r="AG2" s="95"/>
      <c r="AH2" s="100"/>
      <c r="AI2" s="100"/>
      <c r="AJ2" s="100"/>
      <c r="AK2" s="101"/>
    </row>
    <row r="3" spans="2:41" ht="12.45" customHeight="1" thickBot="1">
      <c r="B3" s="727"/>
      <c r="C3" s="728"/>
      <c r="D3" s="728"/>
      <c r="E3" s="728"/>
      <c r="F3" s="728"/>
      <c r="G3" s="729"/>
      <c r="H3" s="529"/>
      <c r="I3" s="727"/>
      <c r="J3" s="728"/>
      <c r="K3" s="728"/>
      <c r="L3" s="728"/>
      <c r="M3" s="728"/>
      <c r="N3" s="728"/>
      <c r="O3" s="728"/>
      <c r="P3" s="728"/>
      <c r="Q3" s="728"/>
      <c r="R3" s="728"/>
      <c r="S3" s="728"/>
      <c r="T3" s="728"/>
      <c r="U3" s="728"/>
      <c r="V3" s="728"/>
      <c r="W3" s="728"/>
      <c r="X3" s="728"/>
      <c r="Y3" s="729"/>
      <c r="Z3" s="529"/>
      <c r="AA3" s="727"/>
      <c r="AB3" s="728"/>
      <c r="AC3" s="728"/>
      <c r="AD3" s="728"/>
      <c r="AE3" s="728"/>
      <c r="AF3" s="729"/>
      <c r="AG3" s="95"/>
      <c r="AH3" s="100"/>
      <c r="AI3" s="100"/>
      <c r="AJ3" s="100"/>
      <c r="AK3" s="101"/>
    </row>
    <row r="4" spans="2:41" ht="17.399999999999999">
      <c r="B4" s="19"/>
      <c r="C4" s="45"/>
      <c r="D4" s="45"/>
      <c r="E4" s="45"/>
      <c r="F4" s="45"/>
      <c r="G4" s="20"/>
      <c r="H4" s="162"/>
      <c r="I4" s="19"/>
      <c r="J4" s="56"/>
      <c r="K4" s="208"/>
      <c r="L4" s="208"/>
      <c r="M4" s="208"/>
      <c r="N4" s="17"/>
      <c r="O4" s="40"/>
      <c r="P4" s="40"/>
      <c r="Q4" s="40"/>
      <c r="R4" s="17"/>
      <c r="S4" s="25"/>
      <c r="T4" s="17"/>
      <c r="U4" s="17"/>
      <c r="V4" s="17"/>
      <c r="W4" s="17"/>
      <c r="X4" s="17"/>
      <c r="Y4" s="20"/>
      <c r="Z4" s="162"/>
      <c r="AA4" s="19"/>
      <c r="AB4" s="45"/>
      <c r="AC4" s="45"/>
      <c r="AD4" s="45"/>
      <c r="AE4" s="45"/>
      <c r="AF4" s="20"/>
    </row>
    <row r="5" spans="2:41" ht="17.55" customHeight="1">
      <c r="B5" s="19"/>
      <c r="C5" s="562"/>
      <c r="D5" s="562"/>
      <c r="E5" s="562"/>
      <c r="F5" s="562"/>
      <c r="G5" s="20"/>
      <c r="H5" s="162"/>
      <c r="I5" s="19"/>
      <c r="J5" s="755" t="s">
        <v>9</v>
      </c>
      <c r="K5" s="755"/>
      <c r="L5" s="755"/>
      <c r="M5" s="755"/>
      <c r="N5" s="755"/>
      <c r="O5" s="755"/>
      <c r="P5" s="755"/>
      <c r="Q5" s="755"/>
      <c r="R5" s="755"/>
      <c r="S5" s="755"/>
      <c r="T5" s="755"/>
      <c r="U5" s="755"/>
      <c r="V5" s="755"/>
      <c r="W5" s="755"/>
      <c r="X5" s="755"/>
      <c r="Y5" s="20"/>
      <c r="Z5" s="162"/>
      <c r="AA5" s="19"/>
      <c r="AB5" s="45"/>
      <c r="AC5" s="45"/>
      <c r="AD5" s="45"/>
      <c r="AE5" s="45"/>
      <c r="AF5" s="20"/>
    </row>
    <row r="6" spans="2:41" ht="17.399999999999999">
      <c r="B6" s="19"/>
      <c r="C6" s="562"/>
      <c r="D6" s="562"/>
      <c r="E6" s="562"/>
      <c r="F6" s="562"/>
      <c r="G6" s="20"/>
      <c r="H6" s="162"/>
      <c r="I6" s="19"/>
      <c r="J6" s="56"/>
      <c r="K6" s="208"/>
      <c r="L6" s="208"/>
      <c r="M6" s="208"/>
      <c r="N6" s="17"/>
      <c r="O6" s="40"/>
      <c r="P6" s="40"/>
      <c r="Q6" s="40"/>
      <c r="R6" s="17"/>
      <c r="S6" s="25"/>
      <c r="T6" s="17"/>
      <c r="U6" s="17"/>
      <c r="V6" s="17"/>
      <c r="W6" s="17"/>
      <c r="X6" s="17"/>
      <c r="Y6" s="20"/>
      <c r="Z6" s="162"/>
      <c r="AA6" s="19"/>
      <c r="AB6" s="45"/>
      <c r="AC6" s="45"/>
      <c r="AD6" s="45"/>
      <c r="AE6" s="45"/>
      <c r="AF6" s="20"/>
    </row>
    <row r="7" spans="2:41" ht="17.399999999999999">
      <c r="B7" s="19"/>
      <c r="C7" s="562"/>
      <c r="D7" s="562"/>
      <c r="E7" s="562"/>
      <c r="F7" s="562"/>
      <c r="G7" s="20"/>
      <c r="H7" s="162"/>
      <c r="I7" s="19"/>
      <c r="J7" s="28" t="s">
        <v>10</v>
      </c>
      <c r="K7" s="209" t="s">
        <v>636</v>
      </c>
      <c r="L7" s="208"/>
      <c r="M7" s="208"/>
      <c r="N7" s="17"/>
      <c r="O7" s="40"/>
      <c r="P7" s="40"/>
      <c r="Q7" s="40"/>
      <c r="R7" s="17"/>
      <c r="S7" s="25"/>
      <c r="T7" s="17"/>
      <c r="U7" s="17"/>
      <c r="V7" s="17"/>
      <c r="W7" s="17"/>
      <c r="X7" s="17"/>
      <c r="Y7" s="20"/>
      <c r="Z7" s="162"/>
      <c r="AA7" s="19"/>
      <c r="AB7" s="45"/>
      <c r="AC7" s="45"/>
      <c r="AD7" s="45"/>
      <c r="AE7" s="45"/>
      <c r="AF7" s="20"/>
      <c r="AH7" s="674" t="s">
        <v>316</v>
      </c>
      <c r="AI7" s="676" t="s">
        <v>409</v>
      </c>
      <c r="AJ7" s="678" t="s">
        <v>410</v>
      </c>
      <c r="AK7" s="104"/>
      <c r="AL7" s="105" t="s">
        <v>313</v>
      </c>
      <c r="AM7" s="105" t="s">
        <v>314</v>
      </c>
      <c r="AN7" s="105" t="s">
        <v>314</v>
      </c>
      <c r="AO7" s="680" t="s">
        <v>368</v>
      </c>
    </row>
    <row r="8" spans="2:41" ht="17.399999999999999">
      <c r="B8" s="19"/>
      <c r="C8" s="562"/>
      <c r="D8" s="562"/>
      <c r="E8" s="562"/>
      <c r="F8" s="562"/>
      <c r="G8" s="20"/>
      <c r="H8" s="162"/>
      <c r="I8" s="19"/>
      <c r="J8" s="56"/>
      <c r="K8" s="208"/>
      <c r="L8" s="208"/>
      <c r="M8" s="208"/>
      <c r="N8" s="17"/>
      <c r="O8" s="40"/>
      <c r="P8" s="501" t="s">
        <v>899</v>
      </c>
      <c r="Q8" s="501" t="s">
        <v>900</v>
      </c>
      <c r="R8" s="515" t="s">
        <v>901</v>
      </c>
      <c r="S8" s="511" t="s">
        <v>902</v>
      </c>
      <c r="T8" s="17"/>
      <c r="U8" s="17"/>
      <c r="V8" s="17"/>
      <c r="W8" s="17"/>
      <c r="X8" s="17"/>
      <c r="Y8" s="20"/>
      <c r="Z8" s="162"/>
      <c r="AA8" s="19"/>
      <c r="AB8" s="45"/>
      <c r="AC8" s="45"/>
      <c r="AD8" s="45"/>
      <c r="AE8" s="45"/>
      <c r="AF8" s="20"/>
      <c r="AH8" s="675"/>
      <c r="AI8" s="677"/>
      <c r="AJ8" s="679"/>
      <c r="AL8" s="180"/>
      <c r="AM8" s="180" t="s">
        <v>366</v>
      </c>
      <c r="AN8" s="180" t="s">
        <v>367</v>
      </c>
      <c r="AO8" s="680"/>
    </row>
    <row r="9" spans="2:41" ht="15.45" customHeight="1">
      <c r="B9" s="27"/>
      <c r="C9" s="665" t="s">
        <v>828</v>
      </c>
      <c r="D9" s="666"/>
      <c r="E9" s="666"/>
      <c r="F9" s="667"/>
      <c r="G9" s="23"/>
      <c r="H9" s="163"/>
      <c r="I9" s="19"/>
      <c r="J9" s="662">
        <v>1.1000000000000001</v>
      </c>
      <c r="K9" s="653" t="s">
        <v>903</v>
      </c>
      <c r="L9" s="654"/>
      <c r="M9" s="655"/>
      <c r="N9" s="17"/>
      <c r="O9" s="500" t="s">
        <v>12</v>
      </c>
      <c r="P9" s="512" t="b">
        <v>0</v>
      </c>
      <c r="Q9" s="512" t="b">
        <v>0</v>
      </c>
      <c r="R9" s="507" t="b">
        <v>0</v>
      </c>
      <c r="S9" s="507" t="b">
        <v>0</v>
      </c>
      <c r="T9" s="22"/>
      <c r="U9" s="665" t="s">
        <v>60</v>
      </c>
      <c r="V9" s="666"/>
      <c r="W9" s="666"/>
      <c r="X9" s="667"/>
      <c r="Y9" s="23"/>
      <c r="Z9" s="163"/>
      <c r="AA9" s="27"/>
      <c r="AB9" s="698" t="str">
        <f>IF(S22,Feedback_List!B3, " ")</f>
        <v xml:space="preserve"> </v>
      </c>
      <c r="AC9" s="699"/>
      <c r="AD9" s="699"/>
      <c r="AE9" s="700"/>
      <c r="AF9" s="23"/>
      <c r="AG9" s="96"/>
      <c r="AH9" s="186">
        <f>IF(OR(P9:S9),1,0)</f>
        <v>0</v>
      </c>
      <c r="AI9" s="192">
        <f>IF(AH9=1,4,0)</f>
        <v>0</v>
      </c>
      <c r="AJ9" s="694">
        <f>SUM(AI9:AI41) * AO9</f>
        <v>0</v>
      </c>
      <c r="AL9" s="108">
        <v>1</v>
      </c>
      <c r="AM9" s="108">
        <v>23</v>
      </c>
      <c r="AN9" s="108">
        <v>4</v>
      </c>
      <c r="AO9" s="193">
        <f>AN9/AM9</f>
        <v>0.17391304347826086</v>
      </c>
    </row>
    <row r="10" spans="2:41" ht="15.45" customHeight="1">
      <c r="B10" s="27"/>
      <c r="C10" s="668"/>
      <c r="D10" s="669"/>
      <c r="E10" s="669"/>
      <c r="F10" s="670"/>
      <c r="G10" s="23"/>
      <c r="H10" s="163"/>
      <c r="I10" s="19"/>
      <c r="J10" s="663"/>
      <c r="K10" s="656"/>
      <c r="L10" s="657"/>
      <c r="M10" s="658"/>
      <c r="N10" s="17"/>
      <c r="O10" s="500" t="s">
        <v>369</v>
      </c>
      <c r="P10" s="513" t="b">
        <v>0</v>
      </c>
      <c r="Q10" s="513" t="b">
        <v>0</v>
      </c>
      <c r="R10" s="509" t="b">
        <v>0</v>
      </c>
      <c r="S10" s="508" t="b">
        <v>0</v>
      </c>
      <c r="T10" s="22"/>
      <c r="U10" s="668"/>
      <c r="V10" s="669"/>
      <c r="W10" s="669"/>
      <c r="X10" s="670"/>
      <c r="Y10" s="23"/>
      <c r="Z10" s="163"/>
      <c r="AA10" s="27"/>
      <c r="AB10" s="701"/>
      <c r="AC10" s="702"/>
      <c r="AD10" s="702"/>
      <c r="AE10" s="703"/>
      <c r="AF10" s="23"/>
      <c r="AG10" s="96"/>
      <c r="AH10" s="109">
        <f t="shared" ref="AH10:AH21" si="0">IF(OR(P10:S10),1,0)</f>
        <v>0</v>
      </c>
      <c r="AI10" s="110">
        <f>IF(AH10=1,2,0)</f>
        <v>0</v>
      </c>
      <c r="AJ10" s="695"/>
      <c r="AL10" s="108">
        <v>2</v>
      </c>
      <c r="AM10" s="108">
        <v>42</v>
      </c>
      <c r="AN10" s="179">
        <v>7</v>
      </c>
      <c r="AO10" s="193">
        <f t="shared" ref="AO10:AO12" si="1">AN10/AM10</f>
        <v>0.16666666666666666</v>
      </c>
    </row>
    <row r="11" spans="2:41" ht="15.45" customHeight="1">
      <c r="B11" s="27"/>
      <c r="C11" s="668"/>
      <c r="D11" s="669"/>
      <c r="E11" s="669"/>
      <c r="F11" s="670"/>
      <c r="G11" s="23"/>
      <c r="H11" s="163"/>
      <c r="I11" s="19"/>
      <c r="J11" s="663"/>
      <c r="K11" s="656"/>
      <c r="L11" s="657"/>
      <c r="M11" s="658"/>
      <c r="N11" s="17"/>
      <c r="O11" s="500" t="s">
        <v>13</v>
      </c>
      <c r="P11" s="514" t="b">
        <v>0</v>
      </c>
      <c r="Q11" s="514" t="b">
        <v>0</v>
      </c>
      <c r="R11" s="508" t="b">
        <v>0</v>
      </c>
      <c r="S11" s="508" t="b">
        <v>0</v>
      </c>
      <c r="T11" s="22"/>
      <c r="U11" s="668"/>
      <c r="V11" s="669"/>
      <c r="W11" s="669"/>
      <c r="X11" s="670"/>
      <c r="Y11" s="23"/>
      <c r="Z11" s="163"/>
      <c r="AA11" s="27"/>
      <c r="AB11" s="701"/>
      <c r="AC11" s="702"/>
      <c r="AD11" s="702"/>
      <c r="AE11" s="703"/>
      <c r="AF11" s="23"/>
      <c r="AG11" s="96"/>
      <c r="AH11" s="109">
        <f t="shared" si="0"/>
        <v>0</v>
      </c>
      <c r="AI11" s="110">
        <f>IF(AH11=1,1,0)</f>
        <v>0</v>
      </c>
      <c r="AJ11" s="695"/>
      <c r="AL11" s="108">
        <v>3</v>
      </c>
      <c r="AM11" s="108">
        <v>21</v>
      </c>
      <c r="AN11" s="108">
        <v>4</v>
      </c>
      <c r="AO11" s="193">
        <f t="shared" si="1"/>
        <v>0.19047619047619047</v>
      </c>
    </row>
    <row r="12" spans="2:41" ht="15.45" customHeight="1">
      <c r="B12" s="27"/>
      <c r="C12" s="668"/>
      <c r="D12" s="669"/>
      <c r="E12" s="669"/>
      <c r="F12" s="670"/>
      <c r="G12" s="23"/>
      <c r="H12" s="163"/>
      <c r="I12" s="19"/>
      <c r="J12" s="663"/>
      <c r="K12" s="656"/>
      <c r="L12" s="657"/>
      <c r="M12" s="658"/>
      <c r="N12" s="17"/>
      <c r="O12" s="500" t="s">
        <v>907</v>
      </c>
      <c r="P12" s="514" t="b">
        <v>0</v>
      </c>
      <c r="Q12" s="514" t="b">
        <v>0</v>
      </c>
      <c r="R12" s="508" t="b">
        <v>0</v>
      </c>
      <c r="S12" s="508" t="b">
        <v>0</v>
      </c>
      <c r="T12" s="22"/>
      <c r="U12" s="668"/>
      <c r="V12" s="669"/>
      <c r="W12" s="669"/>
      <c r="X12" s="670"/>
      <c r="Y12" s="23"/>
      <c r="Z12" s="163"/>
      <c r="AA12" s="27"/>
      <c r="AB12" s="701"/>
      <c r="AC12" s="702"/>
      <c r="AD12" s="702"/>
      <c r="AE12" s="703"/>
      <c r="AF12" s="23"/>
      <c r="AG12" s="96"/>
      <c r="AH12" s="109">
        <f t="shared" si="0"/>
        <v>0</v>
      </c>
      <c r="AI12" s="110">
        <f t="shared" ref="AI12:AI16" si="2">IF(AH12=1,1,0)</f>
        <v>0</v>
      </c>
      <c r="AJ12" s="695"/>
      <c r="AL12" s="108">
        <v>4</v>
      </c>
      <c r="AM12" s="108">
        <v>15</v>
      </c>
      <c r="AN12" s="108">
        <v>3</v>
      </c>
      <c r="AO12" s="193">
        <f t="shared" si="1"/>
        <v>0.2</v>
      </c>
    </row>
    <row r="13" spans="2:41" ht="15.45" customHeight="1">
      <c r="B13" s="27"/>
      <c r="C13" s="668"/>
      <c r="D13" s="669"/>
      <c r="E13" s="669"/>
      <c r="F13" s="670"/>
      <c r="G13" s="23"/>
      <c r="H13" s="163"/>
      <c r="I13" s="19"/>
      <c r="J13" s="663"/>
      <c r="K13" s="656"/>
      <c r="L13" s="657"/>
      <c r="M13" s="658"/>
      <c r="N13" s="17"/>
      <c r="O13" s="500" t="s">
        <v>1171</v>
      </c>
      <c r="P13" s="514" t="b">
        <v>0</v>
      </c>
      <c r="Q13" s="514" t="b">
        <v>0</v>
      </c>
      <c r="R13" s="508" t="b">
        <v>0</v>
      </c>
      <c r="S13" s="508" t="b">
        <v>0</v>
      </c>
      <c r="T13" s="22"/>
      <c r="U13" s="668"/>
      <c r="V13" s="669"/>
      <c r="W13" s="669"/>
      <c r="X13" s="670"/>
      <c r="Y13" s="23"/>
      <c r="Z13" s="163"/>
      <c r="AA13" s="27"/>
      <c r="AB13" s="701"/>
      <c r="AC13" s="702"/>
      <c r="AD13" s="702"/>
      <c r="AE13" s="703"/>
      <c r="AF13" s="23"/>
      <c r="AG13" s="96"/>
      <c r="AH13" s="109">
        <f t="shared" si="0"/>
        <v>0</v>
      </c>
      <c r="AI13" s="110">
        <f t="shared" si="2"/>
        <v>0</v>
      </c>
      <c r="AJ13" s="695"/>
      <c r="AL13" s="246" t="s">
        <v>436</v>
      </c>
      <c r="AM13" s="246">
        <f>SUM(AM9:AM12)</f>
        <v>101</v>
      </c>
      <c r="AN13" s="246">
        <f>SUM(AN9:AN12)</f>
        <v>18</v>
      </c>
    </row>
    <row r="14" spans="2:41" ht="15.45" customHeight="1">
      <c r="B14" s="27"/>
      <c r="C14" s="668"/>
      <c r="D14" s="669"/>
      <c r="E14" s="669"/>
      <c r="F14" s="670"/>
      <c r="G14" s="23"/>
      <c r="H14" s="163"/>
      <c r="I14" s="19"/>
      <c r="J14" s="663"/>
      <c r="K14" s="656"/>
      <c r="L14" s="657"/>
      <c r="M14" s="658"/>
      <c r="N14" s="17"/>
      <c r="O14" s="500" t="s">
        <v>908</v>
      </c>
      <c r="P14" s="514" t="b">
        <v>0</v>
      </c>
      <c r="Q14" s="514" t="b">
        <v>0</v>
      </c>
      <c r="R14" s="508" t="b">
        <v>0</v>
      </c>
      <c r="S14" s="508" t="b">
        <v>0</v>
      </c>
      <c r="T14" s="22"/>
      <c r="U14" s="668"/>
      <c r="V14" s="669"/>
      <c r="W14" s="669"/>
      <c r="X14" s="670"/>
      <c r="Y14" s="23"/>
      <c r="Z14" s="163"/>
      <c r="AA14" s="27"/>
      <c r="AB14" s="701"/>
      <c r="AC14" s="702"/>
      <c r="AD14" s="702"/>
      <c r="AE14" s="703"/>
      <c r="AF14" s="23"/>
      <c r="AG14" s="96"/>
      <c r="AH14" s="109">
        <f t="shared" si="0"/>
        <v>0</v>
      </c>
      <c r="AI14" s="110">
        <f t="shared" si="2"/>
        <v>0</v>
      </c>
      <c r="AJ14" s="695"/>
    </row>
    <row r="15" spans="2:41" ht="15.45" customHeight="1">
      <c r="B15" s="27"/>
      <c r="C15" s="668"/>
      <c r="D15" s="669"/>
      <c r="E15" s="669"/>
      <c r="F15" s="670"/>
      <c r="G15" s="23"/>
      <c r="H15" s="163"/>
      <c r="I15" s="19"/>
      <c r="J15" s="663"/>
      <c r="K15" s="656"/>
      <c r="L15" s="657"/>
      <c r="M15" s="658"/>
      <c r="N15" s="17"/>
      <c r="O15" s="500" t="s">
        <v>909</v>
      </c>
      <c r="P15" s="514" t="b">
        <v>0</v>
      </c>
      <c r="Q15" s="514" t="b">
        <v>0</v>
      </c>
      <c r="R15" s="508" t="b">
        <v>0</v>
      </c>
      <c r="S15" s="508" t="b">
        <v>0</v>
      </c>
      <c r="T15" s="22"/>
      <c r="U15" s="668"/>
      <c r="V15" s="669"/>
      <c r="W15" s="669"/>
      <c r="X15" s="670"/>
      <c r="Y15" s="23"/>
      <c r="Z15" s="163"/>
      <c r="AA15" s="27"/>
      <c r="AB15" s="701"/>
      <c r="AC15" s="702"/>
      <c r="AD15" s="702"/>
      <c r="AE15" s="703"/>
      <c r="AF15" s="23"/>
      <c r="AG15" s="96"/>
      <c r="AH15" s="109">
        <f t="shared" si="0"/>
        <v>0</v>
      </c>
      <c r="AI15" s="110">
        <f t="shared" si="2"/>
        <v>0</v>
      </c>
      <c r="AJ15" s="695"/>
    </row>
    <row r="16" spans="2:41" ht="15.45" customHeight="1">
      <c r="B16" s="27"/>
      <c r="C16" s="668"/>
      <c r="D16" s="669"/>
      <c r="E16" s="669"/>
      <c r="F16" s="670"/>
      <c r="G16" s="23"/>
      <c r="H16" s="163"/>
      <c r="I16" s="19"/>
      <c r="J16" s="663"/>
      <c r="K16" s="656"/>
      <c r="L16" s="657"/>
      <c r="M16" s="658"/>
      <c r="N16" s="17"/>
      <c r="O16" s="500" t="s">
        <v>910</v>
      </c>
      <c r="P16" s="513" t="b">
        <v>0</v>
      </c>
      <c r="Q16" s="513" t="b">
        <v>0</v>
      </c>
      <c r="R16" s="509" t="b">
        <v>0</v>
      </c>
      <c r="S16" s="508" t="b">
        <v>0</v>
      </c>
      <c r="T16" s="22"/>
      <c r="U16" s="668"/>
      <c r="V16" s="669"/>
      <c r="W16" s="669"/>
      <c r="X16" s="670"/>
      <c r="Y16" s="23"/>
      <c r="Z16" s="163"/>
      <c r="AA16" s="27"/>
      <c r="AB16" s="701"/>
      <c r="AC16" s="702"/>
      <c r="AD16" s="702"/>
      <c r="AE16" s="703"/>
      <c r="AF16" s="23"/>
      <c r="AG16" s="96"/>
      <c r="AH16" s="109">
        <f>IF(OR(P16:S16),1,0)</f>
        <v>0</v>
      </c>
      <c r="AI16" s="110">
        <f t="shared" si="2"/>
        <v>0</v>
      </c>
      <c r="AJ16" s="695"/>
    </row>
    <row r="17" spans="2:36" ht="15.45" customHeight="1">
      <c r="B17" s="27"/>
      <c r="C17" s="668"/>
      <c r="D17" s="669"/>
      <c r="E17" s="669"/>
      <c r="F17" s="670"/>
      <c r="G17" s="23"/>
      <c r="H17" s="163"/>
      <c r="I17" s="19"/>
      <c r="J17" s="663"/>
      <c r="K17" s="656"/>
      <c r="L17" s="657"/>
      <c r="M17" s="658"/>
      <c r="N17" s="17"/>
      <c r="O17" s="500" t="s">
        <v>14</v>
      </c>
      <c r="P17" s="514" t="b">
        <v>0</v>
      </c>
      <c r="Q17" s="514" t="b">
        <v>0</v>
      </c>
      <c r="R17" s="508" t="b">
        <v>0</v>
      </c>
      <c r="S17" s="508" t="b">
        <v>0</v>
      </c>
      <c r="T17" s="22"/>
      <c r="U17" s="668"/>
      <c r="V17" s="669"/>
      <c r="W17" s="669"/>
      <c r="X17" s="670"/>
      <c r="Y17" s="23"/>
      <c r="Z17" s="163"/>
      <c r="AA17" s="27"/>
      <c r="AB17" s="701"/>
      <c r="AC17" s="702"/>
      <c r="AD17" s="702"/>
      <c r="AE17" s="703"/>
      <c r="AF17" s="23"/>
      <c r="AG17" s="96"/>
      <c r="AH17" s="109">
        <f t="shared" si="0"/>
        <v>0</v>
      </c>
      <c r="AI17" s="110">
        <f>IF(AH17=1,1,0)</f>
        <v>0</v>
      </c>
      <c r="AJ17" s="695"/>
    </row>
    <row r="18" spans="2:36" ht="15.45" customHeight="1">
      <c r="B18" s="27"/>
      <c r="C18" s="668"/>
      <c r="D18" s="669"/>
      <c r="E18" s="669"/>
      <c r="F18" s="670"/>
      <c r="G18" s="23"/>
      <c r="H18" s="163"/>
      <c r="I18" s="19"/>
      <c r="J18" s="663"/>
      <c r="K18" s="656"/>
      <c r="L18" s="657"/>
      <c r="M18" s="658"/>
      <c r="N18" s="17"/>
      <c r="O18" s="500" t="s">
        <v>15</v>
      </c>
      <c r="P18" s="514" t="b">
        <v>0</v>
      </c>
      <c r="Q18" s="514" t="b">
        <v>0</v>
      </c>
      <c r="R18" s="508" t="b">
        <v>0</v>
      </c>
      <c r="S18" s="508" t="b">
        <v>0</v>
      </c>
      <c r="T18" s="22"/>
      <c r="U18" s="668"/>
      <c r="V18" s="669"/>
      <c r="W18" s="669"/>
      <c r="X18" s="670"/>
      <c r="Y18" s="23"/>
      <c r="Z18" s="163"/>
      <c r="AA18" s="27"/>
      <c r="AB18" s="701"/>
      <c r="AC18" s="702"/>
      <c r="AD18" s="702"/>
      <c r="AE18" s="703"/>
      <c r="AF18" s="23"/>
      <c r="AG18" s="96"/>
      <c r="AH18" s="109">
        <f t="shared" si="0"/>
        <v>0</v>
      </c>
      <c r="AI18" s="110">
        <f t="shared" ref="AI18:AI21" si="3">IF(AH18=1,0.5,0)</f>
        <v>0</v>
      </c>
      <c r="AJ18" s="695"/>
    </row>
    <row r="19" spans="2:36" ht="15.45" customHeight="1">
      <c r="B19" s="27"/>
      <c r="C19" s="668"/>
      <c r="D19" s="669"/>
      <c r="E19" s="669"/>
      <c r="F19" s="670"/>
      <c r="G19" s="23"/>
      <c r="H19" s="163"/>
      <c r="I19" s="19"/>
      <c r="J19" s="663"/>
      <c r="K19" s="656"/>
      <c r="L19" s="657"/>
      <c r="M19" s="658"/>
      <c r="N19" s="17"/>
      <c r="O19" s="500" t="s">
        <v>16</v>
      </c>
      <c r="P19" s="513" t="b">
        <v>0</v>
      </c>
      <c r="Q19" s="513" t="b">
        <v>0</v>
      </c>
      <c r="R19" s="509" t="b">
        <v>0</v>
      </c>
      <c r="S19" s="509" t="b">
        <v>0</v>
      </c>
      <c r="T19" s="22"/>
      <c r="U19" s="668"/>
      <c r="V19" s="669"/>
      <c r="W19" s="669"/>
      <c r="X19" s="670"/>
      <c r="Y19" s="23"/>
      <c r="Z19" s="163"/>
      <c r="AA19" s="27"/>
      <c r="AB19" s="701"/>
      <c r="AC19" s="702"/>
      <c r="AD19" s="702"/>
      <c r="AE19" s="703"/>
      <c r="AF19" s="23"/>
      <c r="AG19" s="96"/>
      <c r="AH19" s="109">
        <f t="shared" si="0"/>
        <v>0</v>
      </c>
      <c r="AI19" s="110">
        <f t="shared" si="3"/>
        <v>0</v>
      </c>
      <c r="AJ19" s="695"/>
    </row>
    <row r="20" spans="2:36" ht="15.45" customHeight="1">
      <c r="B20" s="27"/>
      <c r="C20" s="668"/>
      <c r="D20" s="669"/>
      <c r="E20" s="669"/>
      <c r="F20" s="670"/>
      <c r="G20" s="23"/>
      <c r="H20" s="163"/>
      <c r="I20" s="19"/>
      <c r="J20" s="663"/>
      <c r="K20" s="656"/>
      <c r="L20" s="657"/>
      <c r="M20" s="658"/>
      <c r="N20" s="17"/>
      <c r="O20" s="500" t="s">
        <v>17</v>
      </c>
      <c r="P20" s="514" t="b">
        <v>0</v>
      </c>
      <c r="Q20" s="514" t="b">
        <v>0</v>
      </c>
      <c r="R20" s="508" t="b">
        <v>0</v>
      </c>
      <c r="S20" s="508" t="b">
        <v>0</v>
      </c>
      <c r="T20" s="22"/>
      <c r="U20" s="668"/>
      <c r="V20" s="669"/>
      <c r="W20" s="669"/>
      <c r="X20" s="670"/>
      <c r="Y20" s="23"/>
      <c r="Z20" s="163"/>
      <c r="AA20" s="27"/>
      <c r="AB20" s="701"/>
      <c r="AC20" s="702"/>
      <c r="AD20" s="702"/>
      <c r="AE20" s="703"/>
      <c r="AF20" s="23"/>
      <c r="AG20" s="96"/>
      <c r="AH20" s="109">
        <f t="shared" si="0"/>
        <v>0</v>
      </c>
      <c r="AI20" s="110">
        <f t="shared" si="3"/>
        <v>0</v>
      </c>
      <c r="AJ20" s="695"/>
    </row>
    <row r="21" spans="2:36" ht="15.45" customHeight="1">
      <c r="B21" s="27"/>
      <c r="C21" s="668"/>
      <c r="D21" s="669"/>
      <c r="E21" s="669"/>
      <c r="F21" s="670"/>
      <c r="G21" s="23"/>
      <c r="H21" s="163"/>
      <c r="I21" s="19"/>
      <c r="J21" s="663"/>
      <c r="K21" s="656"/>
      <c r="L21" s="657"/>
      <c r="M21" s="658"/>
      <c r="N21" s="17"/>
      <c r="O21" s="500" t="s">
        <v>807</v>
      </c>
      <c r="P21" s="230" t="b">
        <v>0</v>
      </c>
      <c r="Q21" s="230" t="b">
        <v>0</v>
      </c>
      <c r="R21" s="510" t="b">
        <v>0</v>
      </c>
      <c r="S21" s="510" t="b">
        <v>0</v>
      </c>
      <c r="T21" s="22"/>
      <c r="U21" s="668"/>
      <c r="V21" s="669"/>
      <c r="W21" s="669"/>
      <c r="X21" s="670"/>
      <c r="Y21" s="23"/>
      <c r="Z21" s="163"/>
      <c r="AA21" s="27"/>
      <c r="AB21" s="701"/>
      <c r="AC21" s="702"/>
      <c r="AD21" s="702"/>
      <c r="AE21" s="703"/>
      <c r="AF21" s="23"/>
      <c r="AG21" s="96"/>
      <c r="AH21" s="109">
        <f t="shared" si="0"/>
        <v>0</v>
      </c>
      <c r="AI21" s="110">
        <f t="shared" si="3"/>
        <v>0</v>
      </c>
      <c r="AJ21" s="695"/>
    </row>
    <row r="22" spans="2:36" ht="15.45" customHeight="1">
      <c r="B22" s="27"/>
      <c r="C22" s="668"/>
      <c r="D22" s="669"/>
      <c r="E22" s="669"/>
      <c r="F22" s="670"/>
      <c r="G22" s="23"/>
      <c r="H22" s="163"/>
      <c r="I22" s="19"/>
      <c r="J22" s="663"/>
      <c r="K22" s="656"/>
      <c r="L22" s="657"/>
      <c r="M22" s="658"/>
      <c r="N22" s="17"/>
      <c r="O22" s="730" t="s">
        <v>447</v>
      </c>
      <c r="P22" s="731"/>
      <c r="Q22" s="731"/>
      <c r="R22" s="732"/>
      <c r="S22" s="498" t="b">
        <v>0</v>
      </c>
      <c r="T22" s="22"/>
      <c r="U22" s="668"/>
      <c r="V22" s="669"/>
      <c r="W22" s="669"/>
      <c r="X22" s="670"/>
      <c r="Y22" s="23"/>
      <c r="Z22" s="163"/>
      <c r="AA22" s="27"/>
      <c r="AB22" s="701"/>
      <c r="AC22" s="702"/>
      <c r="AD22" s="702"/>
      <c r="AE22" s="703"/>
      <c r="AF22" s="23"/>
      <c r="AG22" s="96"/>
      <c r="AH22" s="109">
        <f>IF(S23,1,0)</f>
        <v>0</v>
      </c>
      <c r="AI22" s="110"/>
      <c r="AJ22" s="695"/>
    </row>
    <row r="23" spans="2:36" ht="17.55" customHeight="1">
      <c r="B23" s="27"/>
      <c r="C23" s="668"/>
      <c r="D23" s="669"/>
      <c r="E23" s="669"/>
      <c r="F23" s="670"/>
      <c r="G23" s="23"/>
      <c r="H23" s="163"/>
      <c r="I23" s="19"/>
      <c r="J23" s="664"/>
      <c r="K23" s="659"/>
      <c r="L23" s="660"/>
      <c r="M23" s="661"/>
      <c r="N23" s="17"/>
      <c r="O23" s="685" t="s">
        <v>171</v>
      </c>
      <c r="P23" s="686"/>
      <c r="Q23" s="686"/>
      <c r="R23" s="687"/>
      <c r="S23" s="87" t="b">
        <v>0</v>
      </c>
      <c r="T23" s="22"/>
      <c r="U23" s="671"/>
      <c r="V23" s="672"/>
      <c r="W23" s="672"/>
      <c r="X23" s="673"/>
      <c r="Y23" s="23"/>
      <c r="Z23" s="163"/>
      <c r="AA23" s="27"/>
      <c r="AB23" s="704"/>
      <c r="AC23" s="705"/>
      <c r="AD23" s="705"/>
      <c r="AE23" s="706"/>
      <c r="AF23" s="23"/>
      <c r="AG23" s="114"/>
      <c r="AH23" s="109"/>
      <c r="AI23" s="110"/>
      <c r="AJ23" s="695"/>
    </row>
    <row r="24" spans="2:36" ht="17.399999999999999">
      <c r="B24" s="27"/>
      <c r="C24" s="668"/>
      <c r="D24" s="669"/>
      <c r="E24" s="669"/>
      <c r="F24" s="670"/>
      <c r="G24" s="23"/>
      <c r="H24" s="163"/>
      <c r="I24" s="19"/>
      <c r="J24" s="57"/>
      <c r="K24" s="210"/>
      <c r="L24" s="210"/>
      <c r="M24" s="210"/>
      <c r="N24" s="17"/>
      <c r="O24" s="40"/>
      <c r="P24" s="40"/>
      <c r="Q24" s="40"/>
      <c r="R24" s="648"/>
      <c r="S24" s="648"/>
      <c r="T24" s="22"/>
      <c r="U24" s="22"/>
      <c r="V24" s="22"/>
      <c r="W24" s="22"/>
      <c r="X24" s="22"/>
      <c r="Y24" s="23"/>
      <c r="Z24" s="163"/>
      <c r="AA24" s="27"/>
      <c r="AB24" s="22"/>
      <c r="AC24" s="22"/>
      <c r="AD24" s="22"/>
      <c r="AE24" s="22"/>
      <c r="AF24" s="23"/>
      <c r="AG24" s="96"/>
      <c r="AH24" s="109"/>
      <c r="AI24" s="110"/>
      <c r="AJ24" s="695"/>
    </row>
    <row r="25" spans="2:36" ht="15.45" customHeight="1">
      <c r="B25" s="27"/>
      <c r="C25" s="668"/>
      <c r="D25" s="669"/>
      <c r="E25" s="669"/>
      <c r="F25" s="670"/>
      <c r="G25" s="23"/>
      <c r="H25" s="163"/>
      <c r="I25" s="19"/>
      <c r="J25" s="662">
        <v>1.2</v>
      </c>
      <c r="K25" s="710" t="s">
        <v>189</v>
      </c>
      <c r="L25" s="711"/>
      <c r="M25" s="712"/>
      <c r="N25" s="17"/>
      <c r="O25" s="685" t="s">
        <v>370</v>
      </c>
      <c r="P25" s="686"/>
      <c r="Q25" s="686"/>
      <c r="R25" s="687"/>
      <c r="S25" s="44" t="b">
        <v>0</v>
      </c>
      <c r="T25" s="22"/>
      <c r="U25" s="665" t="s">
        <v>60</v>
      </c>
      <c r="V25" s="666"/>
      <c r="W25" s="666"/>
      <c r="X25" s="667"/>
      <c r="Y25" s="23"/>
      <c r="Z25" s="163"/>
      <c r="AA25" s="27"/>
      <c r="AB25" s="698" t="str">
        <f>IF(AH41,Feedback_List!B4, " ")</f>
        <v xml:space="preserve"> </v>
      </c>
      <c r="AC25" s="699"/>
      <c r="AD25" s="699"/>
      <c r="AE25" s="700"/>
      <c r="AF25" s="23"/>
      <c r="AG25" s="96"/>
      <c r="AH25" s="109">
        <f t="shared" ref="AH25:AH40" si="4">IF(S25,1,0)</f>
        <v>0</v>
      </c>
      <c r="AI25" s="110">
        <f>IF(AH25=1,0.5,0)</f>
        <v>0</v>
      </c>
      <c r="AJ25" s="695"/>
    </row>
    <row r="26" spans="2:36" ht="15.45" customHeight="1">
      <c r="B26" s="27"/>
      <c r="C26" s="668"/>
      <c r="D26" s="669"/>
      <c r="E26" s="669"/>
      <c r="F26" s="670"/>
      <c r="G26" s="23"/>
      <c r="H26" s="163"/>
      <c r="I26" s="19"/>
      <c r="J26" s="663"/>
      <c r="K26" s="713"/>
      <c r="L26" s="714"/>
      <c r="M26" s="715"/>
      <c r="N26" s="17"/>
      <c r="O26" s="685" t="s">
        <v>1004</v>
      </c>
      <c r="P26" s="686"/>
      <c r="Q26" s="686"/>
      <c r="R26" s="687"/>
      <c r="S26" s="44" t="b">
        <v>0</v>
      </c>
      <c r="T26" s="22"/>
      <c r="U26" s="668"/>
      <c r="V26" s="669"/>
      <c r="W26" s="669"/>
      <c r="X26" s="670"/>
      <c r="Y26" s="23"/>
      <c r="Z26" s="163"/>
      <c r="AA26" s="27"/>
      <c r="AB26" s="701"/>
      <c r="AC26" s="702"/>
      <c r="AD26" s="702"/>
      <c r="AE26" s="703"/>
      <c r="AF26" s="23"/>
      <c r="AG26" s="96"/>
      <c r="AH26" s="109">
        <f t="shared" si="4"/>
        <v>0</v>
      </c>
      <c r="AI26" s="110">
        <f>IF(AH26=1,0.5,0)</f>
        <v>0</v>
      </c>
      <c r="AJ26" s="695"/>
    </row>
    <row r="27" spans="2:36" ht="15.45" customHeight="1">
      <c r="B27" s="27"/>
      <c r="C27" s="668"/>
      <c r="D27" s="669"/>
      <c r="E27" s="669"/>
      <c r="F27" s="670"/>
      <c r="G27" s="23"/>
      <c r="H27" s="163"/>
      <c r="I27" s="19"/>
      <c r="J27" s="663"/>
      <c r="K27" s="713"/>
      <c r="L27" s="714"/>
      <c r="M27" s="715"/>
      <c r="N27" s="17"/>
      <c r="O27" s="685" t="s">
        <v>904</v>
      </c>
      <c r="P27" s="686"/>
      <c r="Q27" s="686"/>
      <c r="R27" s="687"/>
      <c r="S27" s="44" t="b">
        <v>0</v>
      </c>
      <c r="T27" s="22"/>
      <c r="U27" s="668"/>
      <c r="V27" s="669"/>
      <c r="W27" s="669"/>
      <c r="X27" s="670"/>
      <c r="Y27" s="23"/>
      <c r="Z27" s="163"/>
      <c r="AA27" s="27"/>
      <c r="AB27" s="701"/>
      <c r="AC27" s="702"/>
      <c r="AD27" s="702"/>
      <c r="AE27" s="703"/>
      <c r="AF27" s="23"/>
      <c r="AG27" s="96"/>
      <c r="AH27" s="109">
        <f t="shared" si="4"/>
        <v>0</v>
      </c>
      <c r="AI27" s="110">
        <f t="shared" ref="AI27:AI40" si="5">IF(AH27=1,0.5,0)</f>
        <v>0</v>
      </c>
      <c r="AJ27" s="695"/>
    </row>
    <row r="28" spans="2:36" ht="15.45" customHeight="1">
      <c r="B28" s="27"/>
      <c r="C28" s="668"/>
      <c r="D28" s="669"/>
      <c r="E28" s="669"/>
      <c r="F28" s="670"/>
      <c r="G28" s="23"/>
      <c r="H28" s="163"/>
      <c r="I28" s="19"/>
      <c r="J28" s="663"/>
      <c r="K28" s="713"/>
      <c r="L28" s="714"/>
      <c r="M28" s="715"/>
      <c r="N28" s="17"/>
      <c r="O28" s="685" t="s">
        <v>164</v>
      </c>
      <c r="P28" s="686"/>
      <c r="Q28" s="686"/>
      <c r="R28" s="687"/>
      <c r="S28" s="44" t="b">
        <v>0</v>
      </c>
      <c r="T28" s="22"/>
      <c r="U28" s="668"/>
      <c r="V28" s="669"/>
      <c r="W28" s="669"/>
      <c r="X28" s="670"/>
      <c r="Y28" s="23"/>
      <c r="Z28" s="163"/>
      <c r="AA28" s="27"/>
      <c r="AB28" s="701"/>
      <c r="AC28" s="702"/>
      <c r="AD28" s="702"/>
      <c r="AE28" s="703"/>
      <c r="AF28" s="23"/>
      <c r="AG28" s="96"/>
      <c r="AH28" s="109">
        <f t="shared" si="4"/>
        <v>0</v>
      </c>
      <c r="AI28" s="110">
        <f t="shared" si="5"/>
        <v>0</v>
      </c>
      <c r="AJ28" s="695"/>
    </row>
    <row r="29" spans="2:36" ht="15.45" customHeight="1">
      <c r="B29" s="27"/>
      <c r="C29" s="668"/>
      <c r="D29" s="669"/>
      <c r="E29" s="669"/>
      <c r="F29" s="670"/>
      <c r="G29" s="23"/>
      <c r="H29" s="163"/>
      <c r="I29" s="19"/>
      <c r="J29" s="663"/>
      <c r="K29" s="713"/>
      <c r="L29" s="714"/>
      <c r="M29" s="715"/>
      <c r="N29" s="17"/>
      <c r="O29" s="685" t="s">
        <v>330</v>
      </c>
      <c r="P29" s="686"/>
      <c r="Q29" s="686"/>
      <c r="R29" s="687"/>
      <c r="S29" s="44" t="b">
        <v>0</v>
      </c>
      <c r="T29" s="22"/>
      <c r="U29" s="668"/>
      <c r="V29" s="669"/>
      <c r="W29" s="669"/>
      <c r="X29" s="670"/>
      <c r="Y29" s="23"/>
      <c r="Z29" s="163"/>
      <c r="AA29" s="27"/>
      <c r="AB29" s="701"/>
      <c r="AC29" s="702"/>
      <c r="AD29" s="702"/>
      <c r="AE29" s="703"/>
      <c r="AF29" s="23"/>
      <c r="AG29" s="96"/>
      <c r="AH29" s="109">
        <f t="shared" si="4"/>
        <v>0</v>
      </c>
      <c r="AI29" s="110">
        <f t="shared" si="5"/>
        <v>0</v>
      </c>
      <c r="AJ29" s="695"/>
    </row>
    <row r="30" spans="2:36" ht="15.45" customHeight="1">
      <c r="B30" s="27"/>
      <c r="C30" s="668"/>
      <c r="D30" s="669"/>
      <c r="E30" s="669"/>
      <c r="F30" s="670"/>
      <c r="G30" s="23"/>
      <c r="H30" s="163"/>
      <c r="I30" s="19"/>
      <c r="J30" s="663"/>
      <c r="K30" s="713"/>
      <c r="L30" s="714"/>
      <c r="M30" s="715"/>
      <c r="N30" s="17"/>
      <c r="O30" s="685" t="s">
        <v>331</v>
      </c>
      <c r="P30" s="686"/>
      <c r="Q30" s="686"/>
      <c r="R30" s="687"/>
      <c r="S30" s="44" t="b">
        <v>0</v>
      </c>
      <c r="T30" s="22"/>
      <c r="U30" s="668"/>
      <c r="V30" s="669"/>
      <c r="W30" s="669"/>
      <c r="X30" s="670"/>
      <c r="Y30" s="23"/>
      <c r="Z30" s="163"/>
      <c r="AA30" s="27"/>
      <c r="AB30" s="701"/>
      <c r="AC30" s="702"/>
      <c r="AD30" s="702"/>
      <c r="AE30" s="703"/>
      <c r="AF30" s="23"/>
      <c r="AG30" s="96"/>
      <c r="AH30" s="109">
        <f t="shared" si="4"/>
        <v>0</v>
      </c>
      <c r="AI30" s="110">
        <f t="shared" si="5"/>
        <v>0</v>
      </c>
      <c r="AJ30" s="695"/>
    </row>
    <row r="31" spans="2:36" ht="15.45" customHeight="1">
      <c r="B31" s="27"/>
      <c r="C31" s="668"/>
      <c r="D31" s="669"/>
      <c r="E31" s="669"/>
      <c r="F31" s="670"/>
      <c r="G31" s="23"/>
      <c r="H31" s="163"/>
      <c r="I31" s="19"/>
      <c r="J31" s="663"/>
      <c r="K31" s="713"/>
      <c r="L31" s="714"/>
      <c r="M31" s="715"/>
      <c r="N31" s="17"/>
      <c r="O31" s="685" t="s">
        <v>165</v>
      </c>
      <c r="P31" s="686"/>
      <c r="Q31" s="686"/>
      <c r="R31" s="687"/>
      <c r="S31" s="44" t="b">
        <v>0</v>
      </c>
      <c r="T31" s="22"/>
      <c r="U31" s="668"/>
      <c r="V31" s="669"/>
      <c r="W31" s="669"/>
      <c r="X31" s="670"/>
      <c r="Y31" s="23"/>
      <c r="Z31" s="163"/>
      <c r="AA31" s="27"/>
      <c r="AB31" s="701"/>
      <c r="AC31" s="702"/>
      <c r="AD31" s="702"/>
      <c r="AE31" s="703"/>
      <c r="AF31" s="23"/>
      <c r="AG31" s="96"/>
      <c r="AH31" s="109">
        <f t="shared" si="4"/>
        <v>0</v>
      </c>
      <c r="AI31" s="110">
        <f t="shared" si="5"/>
        <v>0</v>
      </c>
      <c r="AJ31" s="695"/>
    </row>
    <row r="32" spans="2:36" ht="15.45" customHeight="1">
      <c r="B32" s="27"/>
      <c r="C32" s="668"/>
      <c r="D32" s="669"/>
      <c r="E32" s="669"/>
      <c r="F32" s="670"/>
      <c r="G32" s="23"/>
      <c r="H32" s="163"/>
      <c r="I32" s="19"/>
      <c r="J32" s="663"/>
      <c r="K32" s="713"/>
      <c r="L32" s="714"/>
      <c r="M32" s="715"/>
      <c r="N32" s="17"/>
      <c r="O32" s="685" t="s">
        <v>166</v>
      </c>
      <c r="P32" s="686"/>
      <c r="Q32" s="686"/>
      <c r="R32" s="687"/>
      <c r="S32" s="44" t="b">
        <v>0</v>
      </c>
      <c r="T32" s="22"/>
      <c r="U32" s="668"/>
      <c r="V32" s="669"/>
      <c r="W32" s="669"/>
      <c r="X32" s="670"/>
      <c r="Y32" s="23"/>
      <c r="Z32" s="163"/>
      <c r="AA32" s="27"/>
      <c r="AB32" s="701"/>
      <c r="AC32" s="702"/>
      <c r="AD32" s="702"/>
      <c r="AE32" s="703"/>
      <c r="AF32" s="23"/>
      <c r="AG32" s="96"/>
      <c r="AH32" s="109">
        <f t="shared" si="4"/>
        <v>0</v>
      </c>
      <c r="AI32" s="110">
        <f t="shared" si="5"/>
        <v>0</v>
      </c>
      <c r="AJ32" s="695"/>
    </row>
    <row r="33" spans="2:36" ht="15.45" customHeight="1">
      <c r="B33" s="27"/>
      <c r="C33" s="668"/>
      <c r="D33" s="669"/>
      <c r="E33" s="669"/>
      <c r="F33" s="670"/>
      <c r="G33" s="23"/>
      <c r="H33" s="163"/>
      <c r="I33" s="19"/>
      <c r="J33" s="663"/>
      <c r="K33" s="713"/>
      <c r="L33" s="714"/>
      <c r="M33" s="715"/>
      <c r="N33" s="17"/>
      <c r="O33" s="685" t="s">
        <v>1167</v>
      </c>
      <c r="P33" s="686"/>
      <c r="Q33" s="686"/>
      <c r="R33" s="687"/>
      <c r="S33" s="44" t="b">
        <v>0</v>
      </c>
      <c r="T33" s="22"/>
      <c r="U33" s="668"/>
      <c r="V33" s="669"/>
      <c r="W33" s="669"/>
      <c r="X33" s="670"/>
      <c r="Y33" s="23"/>
      <c r="Z33" s="163"/>
      <c r="AA33" s="27"/>
      <c r="AB33" s="701"/>
      <c r="AC33" s="702"/>
      <c r="AD33" s="702"/>
      <c r="AE33" s="703"/>
      <c r="AF33" s="23"/>
      <c r="AG33" s="96"/>
      <c r="AH33" s="109">
        <f t="shared" si="4"/>
        <v>0</v>
      </c>
      <c r="AI33" s="110">
        <f t="shared" si="5"/>
        <v>0</v>
      </c>
      <c r="AJ33" s="695"/>
    </row>
    <row r="34" spans="2:36" ht="15.45" customHeight="1">
      <c r="B34" s="27"/>
      <c r="C34" s="668"/>
      <c r="D34" s="669"/>
      <c r="E34" s="669"/>
      <c r="F34" s="670"/>
      <c r="G34" s="23"/>
      <c r="H34" s="163"/>
      <c r="I34" s="19"/>
      <c r="J34" s="663"/>
      <c r="K34" s="713"/>
      <c r="L34" s="714"/>
      <c r="M34" s="715"/>
      <c r="N34" s="17"/>
      <c r="O34" s="685" t="s">
        <v>1168</v>
      </c>
      <c r="P34" s="686"/>
      <c r="Q34" s="686"/>
      <c r="R34" s="687"/>
      <c r="S34" s="44" t="b">
        <v>0</v>
      </c>
      <c r="T34" s="22"/>
      <c r="U34" s="668"/>
      <c r="V34" s="669"/>
      <c r="W34" s="669"/>
      <c r="X34" s="670"/>
      <c r="Y34" s="23"/>
      <c r="Z34" s="163"/>
      <c r="AA34" s="27"/>
      <c r="AB34" s="701"/>
      <c r="AC34" s="702"/>
      <c r="AD34" s="702"/>
      <c r="AE34" s="703"/>
      <c r="AF34" s="23"/>
      <c r="AG34" s="96"/>
      <c r="AH34" s="109">
        <f t="shared" si="4"/>
        <v>0</v>
      </c>
      <c r="AI34" s="110">
        <f t="shared" si="5"/>
        <v>0</v>
      </c>
      <c r="AJ34" s="695"/>
    </row>
    <row r="35" spans="2:36" ht="15.45" customHeight="1">
      <c r="B35" s="27"/>
      <c r="C35" s="668"/>
      <c r="D35" s="669"/>
      <c r="E35" s="669"/>
      <c r="F35" s="670"/>
      <c r="G35" s="23"/>
      <c r="H35" s="163"/>
      <c r="I35" s="19"/>
      <c r="J35" s="663"/>
      <c r="K35" s="713"/>
      <c r="L35" s="714"/>
      <c r="M35" s="715"/>
      <c r="N35" s="17"/>
      <c r="O35" s="685" t="s">
        <v>170</v>
      </c>
      <c r="P35" s="686"/>
      <c r="Q35" s="686"/>
      <c r="R35" s="687"/>
      <c r="S35" s="44" t="b">
        <v>0</v>
      </c>
      <c r="T35" s="22"/>
      <c r="U35" s="668"/>
      <c r="V35" s="669"/>
      <c r="W35" s="669"/>
      <c r="X35" s="670"/>
      <c r="Y35" s="23"/>
      <c r="Z35" s="163"/>
      <c r="AA35" s="27"/>
      <c r="AB35" s="701"/>
      <c r="AC35" s="702"/>
      <c r="AD35" s="702"/>
      <c r="AE35" s="703"/>
      <c r="AF35" s="23"/>
      <c r="AG35" s="96"/>
      <c r="AH35" s="109">
        <f t="shared" si="4"/>
        <v>0</v>
      </c>
      <c r="AI35" s="110">
        <f t="shared" si="5"/>
        <v>0</v>
      </c>
      <c r="AJ35" s="695"/>
    </row>
    <row r="36" spans="2:36" ht="15.45" customHeight="1">
      <c r="B36" s="27"/>
      <c r="C36" s="668"/>
      <c r="D36" s="669"/>
      <c r="E36" s="669"/>
      <c r="F36" s="670"/>
      <c r="G36" s="23"/>
      <c r="H36" s="163"/>
      <c r="I36" s="19"/>
      <c r="J36" s="663"/>
      <c r="K36" s="713"/>
      <c r="L36" s="714"/>
      <c r="M36" s="715"/>
      <c r="N36" s="17"/>
      <c r="O36" s="685" t="s">
        <v>169</v>
      </c>
      <c r="P36" s="686"/>
      <c r="Q36" s="686"/>
      <c r="R36" s="687"/>
      <c r="S36" s="44" t="b">
        <v>0</v>
      </c>
      <c r="T36" s="22"/>
      <c r="U36" s="668"/>
      <c r="V36" s="669"/>
      <c r="W36" s="669"/>
      <c r="X36" s="670"/>
      <c r="Y36" s="23"/>
      <c r="Z36" s="163"/>
      <c r="AA36" s="27"/>
      <c r="AB36" s="701"/>
      <c r="AC36" s="702"/>
      <c r="AD36" s="702"/>
      <c r="AE36" s="703"/>
      <c r="AF36" s="23"/>
      <c r="AG36" s="96"/>
      <c r="AH36" s="109">
        <f t="shared" si="4"/>
        <v>0</v>
      </c>
      <c r="AI36" s="110">
        <f t="shared" si="5"/>
        <v>0</v>
      </c>
      <c r="AJ36" s="695"/>
    </row>
    <row r="37" spans="2:36" ht="15.45" customHeight="1">
      <c r="B37" s="27"/>
      <c r="C37" s="668"/>
      <c r="D37" s="669"/>
      <c r="E37" s="669"/>
      <c r="F37" s="670"/>
      <c r="G37" s="23"/>
      <c r="H37" s="163"/>
      <c r="I37" s="19"/>
      <c r="J37" s="663"/>
      <c r="K37" s="713"/>
      <c r="L37" s="714"/>
      <c r="M37" s="715"/>
      <c r="N37" s="17"/>
      <c r="O37" s="685" t="s">
        <v>168</v>
      </c>
      <c r="P37" s="686"/>
      <c r="Q37" s="686"/>
      <c r="R37" s="687"/>
      <c r="S37" s="44" t="b">
        <v>0</v>
      </c>
      <c r="T37" s="22"/>
      <c r="U37" s="668"/>
      <c r="V37" s="669"/>
      <c r="W37" s="669"/>
      <c r="X37" s="670"/>
      <c r="Y37" s="23"/>
      <c r="Z37" s="163"/>
      <c r="AA37" s="27"/>
      <c r="AB37" s="701"/>
      <c r="AC37" s="702"/>
      <c r="AD37" s="702"/>
      <c r="AE37" s="703"/>
      <c r="AF37" s="23"/>
      <c r="AG37" s="96"/>
      <c r="AH37" s="109">
        <f t="shared" si="4"/>
        <v>0</v>
      </c>
      <c r="AI37" s="110">
        <f t="shared" si="5"/>
        <v>0</v>
      </c>
      <c r="AJ37" s="695"/>
    </row>
    <row r="38" spans="2:36" ht="15.45" customHeight="1">
      <c r="B38" s="27"/>
      <c r="C38" s="668"/>
      <c r="D38" s="669"/>
      <c r="E38" s="669"/>
      <c r="F38" s="670"/>
      <c r="G38" s="23"/>
      <c r="H38" s="163"/>
      <c r="I38" s="19"/>
      <c r="J38" s="663"/>
      <c r="K38" s="713"/>
      <c r="L38" s="714"/>
      <c r="M38" s="715"/>
      <c r="N38" s="17"/>
      <c r="O38" s="685" t="s">
        <v>167</v>
      </c>
      <c r="P38" s="686"/>
      <c r="Q38" s="686"/>
      <c r="R38" s="687"/>
      <c r="S38" s="44" t="b">
        <v>0</v>
      </c>
      <c r="T38" s="22"/>
      <c r="U38" s="668"/>
      <c r="V38" s="669"/>
      <c r="W38" s="669"/>
      <c r="X38" s="670"/>
      <c r="Y38" s="23"/>
      <c r="Z38" s="163"/>
      <c r="AA38" s="27"/>
      <c r="AB38" s="701"/>
      <c r="AC38" s="702"/>
      <c r="AD38" s="702"/>
      <c r="AE38" s="703"/>
      <c r="AF38" s="23"/>
      <c r="AG38" s="96"/>
      <c r="AH38" s="109">
        <f t="shared" si="4"/>
        <v>0</v>
      </c>
      <c r="AI38" s="110">
        <f t="shared" si="5"/>
        <v>0</v>
      </c>
      <c r="AJ38" s="695"/>
    </row>
    <row r="39" spans="2:36" ht="15.45" customHeight="1">
      <c r="B39" s="27"/>
      <c r="C39" s="668"/>
      <c r="D39" s="669"/>
      <c r="E39" s="669"/>
      <c r="F39" s="670"/>
      <c r="G39" s="23"/>
      <c r="H39" s="163"/>
      <c r="I39" s="19"/>
      <c r="J39" s="663"/>
      <c r="K39" s="713"/>
      <c r="L39" s="714"/>
      <c r="M39" s="715"/>
      <c r="N39" s="17"/>
      <c r="O39" s="685" t="s">
        <v>905</v>
      </c>
      <c r="P39" s="686"/>
      <c r="Q39" s="686"/>
      <c r="R39" s="687"/>
      <c r="S39" s="44" t="b">
        <v>0</v>
      </c>
      <c r="T39" s="22"/>
      <c r="U39" s="668"/>
      <c r="V39" s="669"/>
      <c r="W39" s="669"/>
      <c r="X39" s="670"/>
      <c r="Y39" s="23"/>
      <c r="Z39" s="163"/>
      <c r="AA39" s="27"/>
      <c r="AB39" s="701"/>
      <c r="AC39" s="702"/>
      <c r="AD39" s="702"/>
      <c r="AE39" s="703"/>
      <c r="AF39" s="23"/>
      <c r="AG39" s="96"/>
      <c r="AH39" s="109">
        <f t="shared" si="4"/>
        <v>0</v>
      </c>
      <c r="AI39" s="110">
        <f t="shared" si="5"/>
        <v>0</v>
      </c>
      <c r="AJ39" s="695"/>
    </row>
    <row r="40" spans="2:36" ht="15.45" customHeight="1">
      <c r="B40" s="27"/>
      <c r="C40" s="668"/>
      <c r="D40" s="669"/>
      <c r="E40" s="669"/>
      <c r="F40" s="670"/>
      <c r="G40" s="23"/>
      <c r="H40" s="163"/>
      <c r="I40" s="19"/>
      <c r="J40" s="663"/>
      <c r="K40" s="713"/>
      <c r="L40" s="714"/>
      <c r="M40" s="715"/>
      <c r="N40" s="17"/>
      <c r="O40" s="685" t="s">
        <v>448</v>
      </c>
      <c r="P40" s="686"/>
      <c r="Q40" s="686"/>
      <c r="R40" s="687"/>
      <c r="S40" s="44" t="b">
        <v>0</v>
      </c>
      <c r="T40" s="22"/>
      <c r="U40" s="668"/>
      <c r="V40" s="669"/>
      <c r="W40" s="669"/>
      <c r="X40" s="670"/>
      <c r="Y40" s="23"/>
      <c r="Z40" s="163"/>
      <c r="AA40" s="27"/>
      <c r="AB40" s="701"/>
      <c r="AC40" s="702"/>
      <c r="AD40" s="702"/>
      <c r="AE40" s="703"/>
      <c r="AF40" s="23"/>
      <c r="AG40" s="96"/>
      <c r="AH40" s="109">
        <f t="shared" si="4"/>
        <v>0</v>
      </c>
      <c r="AI40" s="110">
        <f t="shared" si="5"/>
        <v>0</v>
      </c>
      <c r="AJ40" s="695"/>
    </row>
    <row r="41" spans="2:36" ht="17.55" customHeight="1">
      <c r="B41" s="27"/>
      <c r="C41" s="671"/>
      <c r="D41" s="672"/>
      <c r="E41" s="672"/>
      <c r="F41" s="673"/>
      <c r="G41" s="23"/>
      <c r="H41" s="163"/>
      <c r="I41" s="19"/>
      <c r="J41" s="664"/>
      <c r="K41" s="716"/>
      <c r="L41" s="717"/>
      <c r="M41" s="718"/>
      <c r="N41" s="17"/>
      <c r="O41" s="685" t="s">
        <v>447</v>
      </c>
      <c r="P41" s="686"/>
      <c r="Q41" s="686"/>
      <c r="R41" s="687"/>
      <c r="S41" s="176" t="b">
        <v>0</v>
      </c>
      <c r="T41" s="22"/>
      <c r="U41" s="671"/>
      <c r="V41" s="672"/>
      <c r="W41" s="672"/>
      <c r="X41" s="673"/>
      <c r="Y41" s="23"/>
      <c r="Z41" s="163"/>
      <c r="AA41" s="27"/>
      <c r="AB41" s="704"/>
      <c r="AC41" s="705"/>
      <c r="AD41" s="705"/>
      <c r="AE41" s="706"/>
      <c r="AF41" s="23"/>
      <c r="AG41" s="96"/>
      <c r="AH41" s="109">
        <f>IF(S41,1,0)</f>
        <v>0</v>
      </c>
      <c r="AI41" s="110"/>
      <c r="AJ41" s="696"/>
    </row>
    <row r="42" spans="2:36" ht="18" thickBot="1">
      <c r="B42" s="19"/>
      <c r="C42" s="562"/>
      <c r="D42" s="562"/>
      <c r="E42" s="562"/>
      <c r="F42" s="562"/>
      <c r="G42" s="20"/>
      <c r="H42" s="162"/>
      <c r="I42" s="19"/>
      <c r="J42" s="56"/>
      <c r="K42" s="208"/>
      <c r="L42" s="208"/>
      <c r="M42" s="208"/>
      <c r="N42" s="17"/>
      <c r="O42" s="40"/>
      <c r="P42" s="40"/>
      <c r="Q42" s="40"/>
      <c r="R42" s="17"/>
      <c r="S42" s="25"/>
      <c r="T42" s="17"/>
      <c r="U42" s="17"/>
      <c r="V42" s="17"/>
      <c r="W42" s="17"/>
      <c r="X42" s="17"/>
      <c r="Y42" s="20"/>
      <c r="Z42" s="162"/>
      <c r="AA42" s="19"/>
      <c r="AB42" s="45"/>
      <c r="AC42" s="45"/>
      <c r="AD42" s="45"/>
      <c r="AE42" s="45"/>
      <c r="AF42" s="20"/>
      <c r="AG42" s="134"/>
      <c r="AH42" s="196">
        <f>SUM(AH9:AH41)</f>
        <v>0</v>
      </c>
      <c r="AI42" s="197">
        <f>SUM(AI9:AI40)</f>
        <v>0</v>
      </c>
      <c r="AJ42" s="113"/>
    </row>
    <row r="43" spans="2:36" ht="18" thickTop="1">
      <c r="B43" s="19"/>
      <c r="C43" s="45"/>
      <c r="D43" s="45"/>
      <c r="E43" s="45"/>
      <c r="F43" s="45"/>
      <c r="G43" s="20"/>
      <c r="H43" s="162"/>
      <c r="I43" s="19"/>
      <c r="J43" s="28" t="s">
        <v>18</v>
      </c>
      <c r="K43" s="209" t="s">
        <v>1086</v>
      </c>
      <c r="L43" s="208"/>
      <c r="M43" s="208"/>
      <c r="N43" s="17"/>
      <c r="O43" s="40"/>
      <c r="P43" s="40"/>
      <c r="Q43" s="40"/>
      <c r="R43" s="17"/>
      <c r="S43" s="25"/>
      <c r="T43" s="17"/>
      <c r="U43" s="17"/>
      <c r="V43" s="17"/>
      <c r="W43" s="17"/>
      <c r="X43" s="17"/>
      <c r="Y43" s="20"/>
      <c r="Z43" s="162"/>
      <c r="AA43" s="19"/>
      <c r="AB43" s="45"/>
      <c r="AC43" s="45"/>
      <c r="AD43" s="45"/>
      <c r="AE43" s="45"/>
      <c r="AF43" s="20"/>
    </row>
    <row r="44" spans="2:36" ht="17.399999999999999">
      <c r="B44" s="19"/>
      <c r="C44" s="45"/>
      <c r="D44" s="45"/>
      <c r="E44" s="45"/>
      <c r="F44" s="45"/>
      <c r="G44" s="20"/>
      <c r="H44" s="162"/>
      <c r="I44" s="19"/>
      <c r="J44" s="56"/>
      <c r="K44" s="208"/>
      <c r="L44" s="208"/>
      <c r="M44" s="208"/>
      <c r="N44" s="17"/>
      <c r="O44" s="40"/>
      <c r="P44" s="40"/>
      <c r="Q44" s="40"/>
      <c r="R44" s="17"/>
      <c r="S44" s="25"/>
      <c r="T44" s="17"/>
      <c r="U44" s="17"/>
      <c r="V44" s="17"/>
      <c r="W44" s="17"/>
      <c r="X44" s="17"/>
      <c r="Y44" s="20"/>
      <c r="Z44" s="162"/>
      <c r="AA44" s="19"/>
      <c r="AB44" s="45"/>
      <c r="AC44" s="45"/>
      <c r="AD44" s="45"/>
      <c r="AE44" s="45"/>
      <c r="AF44" s="20"/>
    </row>
    <row r="45" spans="2:36" ht="34.049999999999997" customHeight="1">
      <c r="B45" s="38"/>
      <c r="C45" s="746" t="s">
        <v>1119</v>
      </c>
      <c r="D45" s="747"/>
      <c r="E45" s="747"/>
      <c r="F45" s="748"/>
      <c r="G45" s="39"/>
      <c r="H45" s="164"/>
      <c r="I45" s="19"/>
      <c r="J45" s="742">
        <v>2.1</v>
      </c>
      <c r="K45" s="743" t="s">
        <v>190</v>
      </c>
      <c r="L45" s="744"/>
      <c r="M45" s="745"/>
      <c r="N45" s="22"/>
      <c r="O45" s="740" t="s">
        <v>19</v>
      </c>
      <c r="P45" s="686"/>
      <c r="Q45" s="686"/>
      <c r="R45" s="741"/>
      <c r="S45" s="46" t="b">
        <v>0</v>
      </c>
      <c r="T45" s="40"/>
      <c r="U45" s="758" t="s">
        <v>60</v>
      </c>
      <c r="V45" s="759"/>
      <c r="W45" s="759"/>
      <c r="X45" s="760"/>
      <c r="Y45" s="39"/>
      <c r="Z45" s="164"/>
      <c r="AA45" s="38"/>
      <c r="AB45" s="707" t="str">
        <f>IF(AH48,Feedback_List!B6, " ")</f>
        <v xml:space="preserve"> </v>
      </c>
      <c r="AC45" s="708"/>
      <c r="AD45" s="708"/>
      <c r="AE45" s="709"/>
      <c r="AF45" s="39"/>
      <c r="AG45" s="97"/>
      <c r="AH45" s="186">
        <f>IF(S45,1,0)</f>
        <v>0</v>
      </c>
      <c r="AI45" s="178">
        <f>IF(AH45=1,5,IF(AH46=1,5,IF(AH47=1,5,IF(AH48,0,0))))</f>
        <v>0</v>
      </c>
      <c r="AJ45" s="733">
        <f>SUM(AI45:AI91) * AO10</f>
        <v>0</v>
      </c>
    </row>
    <row r="46" spans="2:36" ht="34.049999999999997" customHeight="1">
      <c r="B46" s="38"/>
      <c r="C46" s="749"/>
      <c r="D46" s="750"/>
      <c r="E46" s="750"/>
      <c r="F46" s="751"/>
      <c r="G46" s="39"/>
      <c r="H46" s="164"/>
      <c r="I46" s="19"/>
      <c r="J46" s="663"/>
      <c r="K46" s="713"/>
      <c r="L46" s="714"/>
      <c r="M46" s="715"/>
      <c r="N46" s="22"/>
      <c r="O46" s="740" t="s">
        <v>20</v>
      </c>
      <c r="P46" s="686"/>
      <c r="Q46" s="686"/>
      <c r="R46" s="741"/>
      <c r="S46" s="46" t="b">
        <v>0</v>
      </c>
      <c r="T46" s="40"/>
      <c r="U46" s="668"/>
      <c r="V46" s="669"/>
      <c r="W46" s="669"/>
      <c r="X46" s="670"/>
      <c r="Y46" s="39"/>
      <c r="Z46" s="164"/>
      <c r="AA46" s="38"/>
      <c r="AB46" s="701"/>
      <c r="AC46" s="702"/>
      <c r="AD46" s="702"/>
      <c r="AE46" s="703"/>
      <c r="AF46" s="39"/>
      <c r="AG46" s="97"/>
      <c r="AH46" s="109">
        <f>IF(S46,1,0)</f>
        <v>0</v>
      </c>
      <c r="AI46" s="116"/>
      <c r="AJ46" s="734"/>
    </row>
    <row r="47" spans="2:36" ht="34.049999999999997" customHeight="1">
      <c r="B47" s="38"/>
      <c r="C47" s="749"/>
      <c r="D47" s="750"/>
      <c r="E47" s="750"/>
      <c r="F47" s="751"/>
      <c r="G47" s="39"/>
      <c r="H47" s="164"/>
      <c r="I47" s="19"/>
      <c r="J47" s="663"/>
      <c r="K47" s="713"/>
      <c r="L47" s="714"/>
      <c r="M47" s="715"/>
      <c r="N47" s="22"/>
      <c r="O47" s="740" t="s">
        <v>21</v>
      </c>
      <c r="P47" s="686"/>
      <c r="Q47" s="686"/>
      <c r="R47" s="741"/>
      <c r="S47" s="46" t="b">
        <v>0</v>
      </c>
      <c r="T47" s="40"/>
      <c r="U47" s="668"/>
      <c r="V47" s="669"/>
      <c r="W47" s="669"/>
      <c r="X47" s="670"/>
      <c r="Y47" s="39"/>
      <c r="Z47" s="164"/>
      <c r="AA47" s="38"/>
      <c r="AB47" s="701"/>
      <c r="AC47" s="702"/>
      <c r="AD47" s="702"/>
      <c r="AE47" s="703"/>
      <c r="AF47" s="39"/>
      <c r="AG47" s="97"/>
      <c r="AH47" s="109">
        <f>IF(S47,1,0)</f>
        <v>0</v>
      </c>
      <c r="AI47" s="116"/>
      <c r="AJ47" s="734"/>
    </row>
    <row r="48" spans="2:36" ht="34.049999999999997" customHeight="1">
      <c r="B48" s="38"/>
      <c r="C48" s="749"/>
      <c r="D48" s="750"/>
      <c r="E48" s="750"/>
      <c r="F48" s="751"/>
      <c r="G48" s="39"/>
      <c r="H48" s="164"/>
      <c r="I48" s="19"/>
      <c r="J48" s="664"/>
      <c r="K48" s="716"/>
      <c r="L48" s="717"/>
      <c r="M48" s="718"/>
      <c r="N48" s="22"/>
      <c r="O48" s="756" t="s">
        <v>172</v>
      </c>
      <c r="P48" s="757"/>
      <c r="Q48" s="757"/>
      <c r="R48" s="756"/>
      <c r="S48" s="46" t="b">
        <v>0</v>
      </c>
      <c r="T48" s="40"/>
      <c r="U48" s="671"/>
      <c r="V48" s="672"/>
      <c r="W48" s="672"/>
      <c r="X48" s="673"/>
      <c r="Y48" s="39"/>
      <c r="Z48" s="164"/>
      <c r="AA48" s="38"/>
      <c r="AB48" s="704"/>
      <c r="AC48" s="705"/>
      <c r="AD48" s="705"/>
      <c r="AE48" s="706"/>
      <c r="AF48" s="39"/>
      <c r="AG48" s="97"/>
      <c r="AH48" s="109">
        <f>IF(S48,1,0)</f>
        <v>0</v>
      </c>
      <c r="AI48" s="116"/>
      <c r="AJ48" s="734"/>
    </row>
    <row r="49" spans="2:37" ht="17.399999999999999">
      <c r="B49" s="19"/>
      <c r="C49" s="749"/>
      <c r="D49" s="750"/>
      <c r="E49" s="750"/>
      <c r="F49" s="751"/>
      <c r="G49" s="20"/>
      <c r="H49" s="162"/>
      <c r="I49" s="19"/>
      <c r="J49" s="56"/>
      <c r="K49" s="208"/>
      <c r="L49" s="208"/>
      <c r="M49" s="208"/>
      <c r="N49" s="17"/>
      <c r="O49" s="40"/>
      <c r="P49" s="40"/>
      <c r="Q49" s="40"/>
      <c r="R49" s="17"/>
      <c r="S49" s="25"/>
      <c r="T49" s="17"/>
      <c r="U49" s="17"/>
      <c r="V49" s="17"/>
      <c r="W49" s="17"/>
      <c r="X49" s="17"/>
      <c r="Y49" s="20"/>
      <c r="Z49" s="162"/>
      <c r="AA49" s="19"/>
      <c r="AB49" s="45"/>
      <c r="AC49" s="45"/>
      <c r="AD49" s="45"/>
      <c r="AE49" s="45"/>
      <c r="AF49" s="20"/>
      <c r="AH49" s="109"/>
      <c r="AI49" s="116"/>
      <c r="AJ49" s="734"/>
    </row>
    <row r="50" spans="2:37" ht="18">
      <c r="B50" s="19"/>
      <c r="C50" s="749"/>
      <c r="D50" s="750"/>
      <c r="E50" s="750"/>
      <c r="F50" s="751"/>
      <c r="G50" s="20"/>
      <c r="H50" s="162"/>
      <c r="I50" s="19"/>
      <c r="J50" s="58">
        <v>2.2000000000000002</v>
      </c>
      <c r="K50" s="736" t="s">
        <v>332</v>
      </c>
      <c r="L50" s="737"/>
      <c r="M50" s="737"/>
      <c r="N50" s="737"/>
      <c r="O50" s="737"/>
      <c r="P50" s="738"/>
      <c r="Q50" s="738"/>
      <c r="R50" s="737"/>
      <c r="S50" s="739"/>
      <c r="T50" s="17"/>
      <c r="U50" s="17"/>
      <c r="V50" s="17"/>
      <c r="W50" s="17"/>
      <c r="X50" s="17"/>
      <c r="Y50" s="20"/>
      <c r="Z50" s="162"/>
      <c r="AA50" s="19"/>
      <c r="AB50" s="45"/>
      <c r="AC50" s="45"/>
      <c r="AD50" s="45"/>
      <c r="AE50" s="45"/>
      <c r="AF50" s="20"/>
      <c r="AH50" s="109"/>
      <c r="AI50" s="116"/>
      <c r="AJ50" s="734"/>
    </row>
    <row r="51" spans="2:37" ht="17.399999999999999">
      <c r="B51" s="19"/>
      <c r="C51" s="749"/>
      <c r="D51" s="750"/>
      <c r="E51" s="750"/>
      <c r="F51" s="751"/>
      <c r="G51" s="20"/>
      <c r="H51" s="162"/>
      <c r="I51" s="19"/>
      <c r="J51" s="59"/>
      <c r="K51" s="211"/>
      <c r="L51" s="212"/>
      <c r="M51" s="212"/>
      <c r="N51" s="35"/>
      <c r="O51" s="264"/>
      <c r="P51" s="264"/>
      <c r="Q51" s="264"/>
      <c r="R51" s="48"/>
      <c r="S51" s="47"/>
      <c r="T51" s="17"/>
      <c r="U51" s="17"/>
      <c r="V51" s="17"/>
      <c r="W51" s="17"/>
      <c r="X51" s="17"/>
      <c r="Y51" s="20"/>
      <c r="Z51" s="162"/>
      <c r="AA51" s="19"/>
      <c r="AB51" s="45"/>
      <c r="AC51" s="45"/>
      <c r="AD51" s="45"/>
      <c r="AE51" s="45"/>
      <c r="AF51" s="20"/>
      <c r="AH51" s="109"/>
      <c r="AI51" s="110"/>
      <c r="AJ51" s="734"/>
      <c r="AK51" s="114"/>
    </row>
    <row r="52" spans="2:37" ht="15.45" customHeight="1">
      <c r="B52" s="38"/>
      <c r="C52" s="749"/>
      <c r="D52" s="750"/>
      <c r="E52" s="750"/>
      <c r="F52" s="751"/>
      <c r="G52" s="39"/>
      <c r="H52" s="164"/>
      <c r="I52" s="19"/>
      <c r="J52" s="662" t="s">
        <v>22</v>
      </c>
      <c r="K52" s="653" t="s">
        <v>191</v>
      </c>
      <c r="L52" s="654"/>
      <c r="M52" s="655"/>
      <c r="N52" s="25"/>
      <c r="O52" s="688" t="s">
        <v>1087</v>
      </c>
      <c r="P52" s="683"/>
      <c r="Q52" s="683"/>
      <c r="R52" s="689"/>
      <c r="S52" s="44" t="b">
        <v>0</v>
      </c>
      <c r="T52" s="40"/>
      <c r="U52" s="665" t="s">
        <v>60</v>
      </c>
      <c r="V52" s="666"/>
      <c r="W52" s="666"/>
      <c r="X52" s="667"/>
      <c r="Y52" s="39"/>
      <c r="Z52" s="162"/>
      <c r="AA52" s="38"/>
      <c r="AB52" s="698" t="str">
        <f>IF(OR(AH54=1,AH56=1,AH60=1,AH62=1,AH66=1,AH68=1,AH72=1,AH74=1,AH78=1,AH80=1,AH84=1,AH86=1),Feedback_List!B7, " ")</f>
        <v xml:space="preserve"> </v>
      </c>
      <c r="AC52" s="699"/>
      <c r="AD52" s="699"/>
      <c r="AE52" s="700"/>
      <c r="AF52" s="39"/>
      <c r="AG52" s="98"/>
      <c r="AH52" s="109">
        <f>IF(S52,1,0)</f>
        <v>0</v>
      </c>
      <c r="AI52" s="110">
        <f>IF(AH52,5,IF(AH53,3,IF(AH54,0,IF(AH55,5,IF(AH56,0,0)))))</f>
        <v>0</v>
      </c>
      <c r="AJ52" s="734"/>
      <c r="AK52" s="114"/>
    </row>
    <row r="53" spans="2:37" ht="15.45" customHeight="1">
      <c r="B53" s="38"/>
      <c r="C53" s="749"/>
      <c r="D53" s="750"/>
      <c r="E53" s="750"/>
      <c r="F53" s="751"/>
      <c r="G53" s="39"/>
      <c r="H53" s="164"/>
      <c r="I53" s="19"/>
      <c r="J53" s="663"/>
      <c r="K53" s="656"/>
      <c r="L53" s="657"/>
      <c r="M53" s="658"/>
      <c r="N53" s="25"/>
      <c r="O53" s="682" t="s">
        <v>808</v>
      </c>
      <c r="P53" s="683"/>
      <c r="Q53" s="683"/>
      <c r="R53" s="684"/>
      <c r="S53" s="414" t="b">
        <v>0</v>
      </c>
      <c r="T53" s="40"/>
      <c r="U53" s="668"/>
      <c r="V53" s="669"/>
      <c r="W53" s="669"/>
      <c r="X53" s="670"/>
      <c r="Y53" s="39"/>
      <c r="Z53" s="162"/>
      <c r="AA53" s="38"/>
      <c r="AB53" s="701"/>
      <c r="AC53" s="702"/>
      <c r="AD53" s="702"/>
      <c r="AE53" s="703"/>
      <c r="AF53" s="39"/>
      <c r="AG53" s="98"/>
      <c r="AH53" s="109">
        <f>IF(S53,1,0)</f>
        <v>0</v>
      </c>
      <c r="AI53" s="110"/>
      <c r="AJ53" s="734"/>
      <c r="AK53" s="114"/>
    </row>
    <row r="54" spans="2:37" ht="15.45" customHeight="1">
      <c r="B54" s="38"/>
      <c r="C54" s="749"/>
      <c r="D54" s="750"/>
      <c r="E54" s="750"/>
      <c r="F54" s="751"/>
      <c r="G54" s="39"/>
      <c r="H54" s="40"/>
      <c r="I54" s="19"/>
      <c r="J54" s="663"/>
      <c r="K54" s="656"/>
      <c r="L54" s="657"/>
      <c r="M54" s="658"/>
      <c r="N54" s="25"/>
      <c r="O54" s="688" t="s">
        <v>1030</v>
      </c>
      <c r="P54" s="683"/>
      <c r="Q54" s="683"/>
      <c r="R54" s="689"/>
      <c r="S54" s="44" t="b">
        <v>0</v>
      </c>
      <c r="T54" s="40"/>
      <c r="U54" s="668"/>
      <c r="V54" s="669"/>
      <c r="W54" s="669"/>
      <c r="X54" s="670"/>
      <c r="Y54" s="39"/>
      <c r="Z54" s="162"/>
      <c r="AA54" s="38"/>
      <c r="AB54" s="701"/>
      <c r="AC54" s="702"/>
      <c r="AD54" s="702"/>
      <c r="AE54" s="703"/>
      <c r="AF54" s="39"/>
      <c r="AG54" s="98"/>
      <c r="AH54" s="109">
        <f>IF(S54,1,0)</f>
        <v>0</v>
      </c>
      <c r="AI54" s="110"/>
      <c r="AJ54" s="734"/>
      <c r="AK54" s="114"/>
    </row>
    <row r="55" spans="2:37" ht="15.45" customHeight="1">
      <c r="B55" s="38"/>
      <c r="C55" s="749"/>
      <c r="D55" s="750"/>
      <c r="E55" s="750"/>
      <c r="F55" s="751"/>
      <c r="G55" s="39"/>
      <c r="H55" s="164"/>
      <c r="I55" s="19"/>
      <c r="J55" s="663"/>
      <c r="K55" s="656"/>
      <c r="L55" s="657"/>
      <c r="M55" s="658"/>
      <c r="N55" s="25"/>
      <c r="O55" s="412" t="s">
        <v>363</v>
      </c>
      <c r="P55" s="493"/>
      <c r="Q55" s="493"/>
      <c r="R55" s="413"/>
      <c r="S55" s="44" t="b">
        <v>0</v>
      </c>
      <c r="T55" s="40"/>
      <c r="U55" s="668"/>
      <c r="V55" s="669"/>
      <c r="W55" s="669"/>
      <c r="X55" s="670"/>
      <c r="Y55" s="39"/>
      <c r="Z55" s="162"/>
      <c r="AA55" s="38"/>
      <c r="AB55" s="701"/>
      <c r="AC55" s="702"/>
      <c r="AD55" s="702"/>
      <c r="AE55" s="703"/>
      <c r="AF55" s="39"/>
      <c r="AG55" s="98"/>
      <c r="AH55" s="109">
        <f>IF(S55,1,0)</f>
        <v>0</v>
      </c>
      <c r="AI55" s="110"/>
      <c r="AJ55" s="734"/>
      <c r="AK55" s="114"/>
    </row>
    <row r="56" spans="2:37" ht="17.55" customHeight="1">
      <c r="B56" s="38"/>
      <c r="C56" s="749"/>
      <c r="D56" s="750"/>
      <c r="E56" s="750"/>
      <c r="F56" s="751"/>
      <c r="G56" s="39"/>
      <c r="H56" s="164"/>
      <c r="I56" s="19"/>
      <c r="J56" s="664"/>
      <c r="K56" s="659"/>
      <c r="L56" s="660"/>
      <c r="M56" s="661"/>
      <c r="N56" s="25"/>
      <c r="O56" s="412" t="s">
        <v>1031</v>
      </c>
      <c r="P56" s="493"/>
      <c r="Q56" s="493"/>
      <c r="R56" s="413"/>
      <c r="S56" s="44" t="b">
        <v>0</v>
      </c>
      <c r="T56" s="40"/>
      <c r="U56" s="671"/>
      <c r="V56" s="672"/>
      <c r="W56" s="672"/>
      <c r="X56" s="673"/>
      <c r="Y56" s="39"/>
      <c r="Z56" s="162"/>
      <c r="AA56" s="38"/>
      <c r="AB56" s="701"/>
      <c r="AC56" s="702"/>
      <c r="AD56" s="702"/>
      <c r="AE56" s="703"/>
      <c r="AF56" s="39"/>
      <c r="AG56" s="98"/>
      <c r="AH56" s="109">
        <f>IF(S56,1,0)</f>
        <v>0</v>
      </c>
      <c r="AI56" s="110"/>
      <c r="AJ56" s="734"/>
      <c r="AK56" s="114"/>
    </row>
    <row r="57" spans="2:37" ht="17.399999999999999">
      <c r="B57" s="19"/>
      <c r="C57" s="749"/>
      <c r="D57" s="750"/>
      <c r="E57" s="750"/>
      <c r="F57" s="751"/>
      <c r="G57" s="20"/>
      <c r="H57" s="162"/>
      <c r="I57" s="19"/>
      <c r="J57" s="60"/>
      <c r="K57" s="213"/>
      <c r="L57" s="213"/>
      <c r="M57" s="213"/>
      <c r="N57" s="17"/>
      <c r="O57" s="62"/>
      <c r="P57" s="62"/>
      <c r="Q57" s="62"/>
      <c r="R57" s="49"/>
      <c r="S57" s="25"/>
      <c r="T57" s="17"/>
      <c r="U57" s="17"/>
      <c r="V57" s="17"/>
      <c r="W57" s="17"/>
      <c r="X57" s="17"/>
      <c r="Y57" s="20"/>
      <c r="Z57" s="162"/>
      <c r="AA57" s="19"/>
      <c r="AB57" s="701"/>
      <c r="AC57" s="702"/>
      <c r="AD57" s="702"/>
      <c r="AE57" s="703"/>
      <c r="AF57" s="20"/>
      <c r="AG57" s="134"/>
      <c r="AH57" s="117"/>
      <c r="AI57" s="116"/>
      <c r="AJ57" s="734"/>
    </row>
    <row r="58" spans="2:37" ht="15.45" customHeight="1">
      <c r="B58" s="38"/>
      <c r="C58" s="749"/>
      <c r="D58" s="750"/>
      <c r="E58" s="750"/>
      <c r="F58" s="751"/>
      <c r="G58" s="39"/>
      <c r="H58" s="164"/>
      <c r="I58" s="19"/>
      <c r="J58" s="662" t="s">
        <v>24</v>
      </c>
      <c r="K58" s="653" t="s">
        <v>192</v>
      </c>
      <c r="L58" s="654"/>
      <c r="M58" s="655"/>
      <c r="N58" s="25"/>
      <c r="O58" s="688" t="s">
        <v>1087</v>
      </c>
      <c r="P58" s="683"/>
      <c r="Q58" s="683"/>
      <c r="R58" s="689"/>
      <c r="S58" s="44" t="b">
        <v>0</v>
      </c>
      <c r="T58" s="40"/>
      <c r="U58" s="665" t="s">
        <v>60</v>
      </c>
      <c r="V58" s="666"/>
      <c r="W58" s="666"/>
      <c r="X58" s="667"/>
      <c r="Y58" s="39"/>
      <c r="Z58" s="162"/>
      <c r="AA58" s="38"/>
      <c r="AB58" s="701"/>
      <c r="AC58" s="702"/>
      <c r="AD58" s="702"/>
      <c r="AE58" s="703"/>
      <c r="AF58" s="39"/>
      <c r="AG58" s="98"/>
      <c r="AH58" s="117">
        <f>IF(S58,1,0)</f>
        <v>0</v>
      </c>
      <c r="AI58" s="110">
        <f>IF(AH58,5,IF(AH59,3,IF(AH60,0,IF(AH61,5,IF(AH62,0,0)))))</f>
        <v>0</v>
      </c>
      <c r="AJ58" s="734"/>
      <c r="AK58" s="118"/>
    </row>
    <row r="59" spans="2:37" ht="15.45" customHeight="1">
      <c r="B59" s="38"/>
      <c r="C59" s="749"/>
      <c r="D59" s="750"/>
      <c r="E59" s="750"/>
      <c r="F59" s="751"/>
      <c r="G59" s="39"/>
      <c r="H59" s="164"/>
      <c r="I59" s="19"/>
      <c r="J59" s="663"/>
      <c r="K59" s="656"/>
      <c r="L59" s="657"/>
      <c r="M59" s="658"/>
      <c r="N59" s="25"/>
      <c r="O59" s="682" t="s">
        <v>808</v>
      </c>
      <c r="P59" s="683"/>
      <c r="Q59" s="683"/>
      <c r="R59" s="684"/>
      <c r="S59" s="414" t="b">
        <v>0</v>
      </c>
      <c r="T59" s="40"/>
      <c r="U59" s="668"/>
      <c r="V59" s="669"/>
      <c r="W59" s="669"/>
      <c r="X59" s="670"/>
      <c r="Y59" s="39"/>
      <c r="Z59" s="162"/>
      <c r="AA59" s="38"/>
      <c r="AB59" s="701"/>
      <c r="AC59" s="702"/>
      <c r="AD59" s="702"/>
      <c r="AE59" s="703"/>
      <c r="AF59" s="39"/>
      <c r="AG59" s="98"/>
      <c r="AH59" s="117">
        <f t="shared" ref="AH59:AH62" si="6">IF(S59,1,0)</f>
        <v>0</v>
      </c>
      <c r="AI59" s="116"/>
      <c r="AJ59" s="734"/>
      <c r="AK59" s="118"/>
    </row>
    <row r="60" spans="2:37" ht="15.45" customHeight="1">
      <c r="B60" s="38"/>
      <c r="C60" s="749"/>
      <c r="D60" s="750"/>
      <c r="E60" s="750"/>
      <c r="F60" s="751"/>
      <c r="G60" s="39"/>
      <c r="H60" s="164"/>
      <c r="I60" s="19"/>
      <c r="J60" s="663"/>
      <c r="K60" s="656"/>
      <c r="L60" s="657"/>
      <c r="M60" s="658"/>
      <c r="N60" s="25"/>
      <c r="O60" s="688" t="s">
        <v>1030</v>
      </c>
      <c r="P60" s="683"/>
      <c r="Q60" s="683"/>
      <c r="R60" s="689"/>
      <c r="S60" s="44" t="b">
        <v>0</v>
      </c>
      <c r="T60" s="40"/>
      <c r="U60" s="668"/>
      <c r="V60" s="669"/>
      <c r="W60" s="669"/>
      <c r="X60" s="670"/>
      <c r="Y60" s="39"/>
      <c r="Z60" s="162"/>
      <c r="AA60" s="38"/>
      <c r="AB60" s="701"/>
      <c r="AC60" s="702"/>
      <c r="AD60" s="702"/>
      <c r="AE60" s="703"/>
      <c r="AF60" s="39"/>
      <c r="AG60" s="98"/>
      <c r="AH60" s="117">
        <f t="shared" si="6"/>
        <v>0</v>
      </c>
      <c r="AI60" s="116"/>
      <c r="AJ60" s="734"/>
      <c r="AK60" s="118"/>
    </row>
    <row r="61" spans="2:37" ht="15.45" customHeight="1">
      <c r="B61" s="38"/>
      <c r="C61" s="749"/>
      <c r="D61" s="750"/>
      <c r="E61" s="750"/>
      <c r="F61" s="751"/>
      <c r="G61" s="39"/>
      <c r="H61" s="164"/>
      <c r="I61" s="19"/>
      <c r="J61" s="663"/>
      <c r="K61" s="656"/>
      <c r="L61" s="657"/>
      <c r="M61" s="658"/>
      <c r="N61" s="25"/>
      <c r="O61" s="412" t="s">
        <v>363</v>
      </c>
      <c r="P61" s="493"/>
      <c r="Q61" s="493"/>
      <c r="R61" s="413"/>
      <c r="S61" s="44" t="b">
        <v>0</v>
      </c>
      <c r="T61" s="40"/>
      <c r="U61" s="668"/>
      <c r="V61" s="669"/>
      <c r="W61" s="669"/>
      <c r="X61" s="670"/>
      <c r="Y61" s="39"/>
      <c r="Z61" s="162"/>
      <c r="AA61" s="38"/>
      <c r="AB61" s="701"/>
      <c r="AC61" s="702"/>
      <c r="AD61" s="702"/>
      <c r="AE61" s="703"/>
      <c r="AF61" s="39"/>
      <c r="AG61" s="98"/>
      <c r="AH61" s="117">
        <f t="shared" si="6"/>
        <v>0</v>
      </c>
      <c r="AI61" s="116"/>
      <c r="AJ61" s="734"/>
      <c r="AK61" s="118"/>
    </row>
    <row r="62" spans="2:37" ht="17.55" customHeight="1">
      <c r="B62" s="38"/>
      <c r="C62" s="749"/>
      <c r="D62" s="750"/>
      <c r="E62" s="750"/>
      <c r="F62" s="751"/>
      <c r="G62" s="39"/>
      <c r="H62" s="164"/>
      <c r="I62" s="19"/>
      <c r="J62" s="664"/>
      <c r="K62" s="659"/>
      <c r="L62" s="660"/>
      <c r="M62" s="661"/>
      <c r="N62" s="25"/>
      <c r="O62" s="412" t="s">
        <v>1031</v>
      </c>
      <c r="P62" s="493"/>
      <c r="Q62" s="493"/>
      <c r="R62" s="413"/>
      <c r="S62" s="44" t="b">
        <v>0</v>
      </c>
      <c r="T62" s="40"/>
      <c r="U62" s="671"/>
      <c r="V62" s="672"/>
      <c r="W62" s="672"/>
      <c r="X62" s="673"/>
      <c r="Y62" s="39"/>
      <c r="Z62" s="162"/>
      <c r="AA62" s="38"/>
      <c r="AB62" s="701"/>
      <c r="AC62" s="702"/>
      <c r="AD62" s="702"/>
      <c r="AE62" s="703"/>
      <c r="AF62" s="39"/>
      <c r="AG62" s="98"/>
      <c r="AH62" s="117">
        <f t="shared" si="6"/>
        <v>0</v>
      </c>
      <c r="AI62" s="116"/>
      <c r="AJ62" s="734"/>
      <c r="AK62" s="118"/>
    </row>
    <row r="63" spans="2:37" ht="17.399999999999999">
      <c r="B63" s="19"/>
      <c r="C63" s="749"/>
      <c r="D63" s="750"/>
      <c r="E63" s="750"/>
      <c r="F63" s="751"/>
      <c r="G63" s="20"/>
      <c r="H63" s="162"/>
      <c r="I63" s="19"/>
      <c r="J63" s="60"/>
      <c r="K63" s="213"/>
      <c r="L63" s="213"/>
      <c r="M63" s="213"/>
      <c r="N63" s="17"/>
      <c r="O63" s="40"/>
      <c r="P63" s="40"/>
      <c r="Q63" s="40"/>
      <c r="R63" s="45"/>
      <c r="S63" s="25"/>
      <c r="T63" s="17"/>
      <c r="U63" s="17"/>
      <c r="V63" s="17"/>
      <c r="W63" s="17"/>
      <c r="X63" s="17"/>
      <c r="Y63" s="20"/>
      <c r="Z63" s="162"/>
      <c r="AA63" s="19"/>
      <c r="AB63" s="701"/>
      <c r="AC63" s="702"/>
      <c r="AD63" s="702"/>
      <c r="AE63" s="703"/>
      <c r="AF63" s="20"/>
      <c r="AG63" s="134"/>
      <c r="AH63" s="117"/>
      <c r="AI63" s="116"/>
      <c r="AJ63" s="734"/>
    </row>
    <row r="64" spans="2:37" ht="15.45" customHeight="1">
      <c r="B64" s="38"/>
      <c r="C64" s="749"/>
      <c r="D64" s="750"/>
      <c r="E64" s="750"/>
      <c r="F64" s="751"/>
      <c r="G64" s="39"/>
      <c r="H64" s="164"/>
      <c r="I64" s="19"/>
      <c r="J64" s="662" t="s">
        <v>25</v>
      </c>
      <c r="K64" s="653" t="s">
        <v>193</v>
      </c>
      <c r="L64" s="654"/>
      <c r="M64" s="655"/>
      <c r="N64" s="25"/>
      <c r="O64" s="688" t="s">
        <v>1087</v>
      </c>
      <c r="P64" s="683"/>
      <c r="Q64" s="683"/>
      <c r="R64" s="689"/>
      <c r="S64" s="44" t="b">
        <v>0</v>
      </c>
      <c r="T64" s="40"/>
      <c r="U64" s="665" t="s">
        <v>60</v>
      </c>
      <c r="V64" s="666"/>
      <c r="W64" s="666"/>
      <c r="X64" s="667"/>
      <c r="Y64" s="39"/>
      <c r="Z64" s="164"/>
      <c r="AA64" s="38"/>
      <c r="AB64" s="701"/>
      <c r="AC64" s="702"/>
      <c r="AD64" s="702"/>
      <c r="AE64" s="703"/>
      <c r="AF64" s="39"/>
      <c r="AG64" s="98"/>
      <c r="AH64" s="117">
        <f>IF(S64,1,0)</f>
        <v>0</v>
      </c>
      <c r="AI64" s="110">
        <f>IF(AH64,5,IF(AH65,3,IF(AH66,0,IF(AH67,5,IF(AH68,0,0)))))</f>
        <v>0</v>
      </c>
      <c r="AJ64" s="734"/>
      <c r="AK64" s="118"/>
    </row>
    <row r="65" spans="2:37" ht="15.45" customHeight="1">
      <c r="B65" s="38"/>
      <c r="C65" s="749"/>
      <c r="D65" s="750"/>
      <c r="E65" s="750"/>
      <c r="F65" s="751"/>
      <c r="G65" s="39"/>
      <c r="H65" s="164"/>
      <c r="I65" s="19"/>
      <c r="J65" s="663"/>
      <c r="K65" s="656"/>
      <c r="L65" s="657"/>
      <c r="M65" s="658"/>
      <c r="N65" s="25"/>
      <c r="O65" s="682" t="s">
        <v>808</v>
      </c>
      <c r="P65" s="683"/>
      <c r="Q65" s="683"/>
      <c r="R65" s="684"/>
      <c r="S65" s="414" t="b">
        <v>0</v>
      </c>
      <c r="T65" s="40"/>
      <c r="U65" s="668"/>
      <c r="V65" s="669"/>
      <c r="W65" s="669"/>
      <c r="X65" s="670"/>
      <c r="Y65" s="39"/>
      <c r="Z65" s="164"/>
      <c r="AA65" s="38"/>
      <c r="AB65" s="701"/>
      <c r="AC65" s="702"/>
      <c r="AD65" s="702"/>
      <c r="AE65" s="703"/>
      <c r="AF65" s="39"/>
      <c r="AG65" s="98"/>
      <c r="AH65" s="117">
        <f t="shared" ref="AH65:AH68" si="7">IF(S65,1,0)</f>
        <v>0</v>
      </c>
      <c r="AI65" s="116"/>
      <c r="AJ65" s="734"/>
      <c r="AK65" s="118"/>
    </row>
    <row r="66" spans="2:37" ht="15.45" customHeight="1">
      <c r="B66" s="38"/>
      <c r="C66" s="749"/>
      <c r="D66" s="750"/>
      <c r="E66" s="750"/>
      <c r="F66" s="751"/>
      <c r="G66" s="39"/>
      <c r="H66" s="164"/>
      <c r="I66" s="19"/>
      <c r="J66" s="663"/>
      <c r="K66" s="656"/>
      <c r="L66" s="657"/>
      <c r="M66" s="658"/>
      <c r="N66" s="25"/>
      <c r="O66" s="688" t="s">
        <v>1030</v>
      </c>
      <c r="P66" s="683"/>
      <c r="Q66" s="683"/>
      <c r="R66" s="689"/>
      <c r="S66" s="44" t="b">
        <v>0</v>
      </c>
      <c r="T66" s="40"/>
      <c r="U66" s="668"/>
      <c r="V66" s="669"/>
      <c r="W66" s="669"/>
      <c r="X66" s="670"/>
      <c r="Y66" s="39"/>
      <c r="Z66" s="164"/>
      <c r="AA66" s="38"/>
      <c r="AB66" s="701"/>
      <c r="AC66" s="702"/>
      <c r="AD66" s="702"/>
      <c r="AE66" s="703"/>
      <c r="AF66" s="39"/>
      <c r="AG66" s="98"/>
      <c r="AH66" s="117">
        <f t="shared" si="7"/>
        <v>0</v>
      </c>
      <c r="AI66" s="116"/>
      <c r="AJ66" s="734"/>
      <c r="AK66" s="118"/>
    </row>
    <row r="67" spans="2:37" ht="15.45" customHeight="1">
      <c r="B67" s="38"/>
      <c r="C67" s="749"/>
      <c r="D67" s="750"/>
      <c r="E67" s="750"/>
      <c r="F67" s="751"/>
      <c r="G67" s="39"/>
      <c r="H67" s="164"/>
      <c r="I67" s="19"/>
      <c r="J67" s="663"/>
      <c r="K67" s="656"/>
      <c r="L67" s="657"/>
      <c r="M67" s="658"/>
      <c r="N67" s="25"/>
      <c r="O67" s="412" t="s">
        <v>363</v>
      </c>
      <c r="P67" s="493"/>
      <c r="Q67" s="493"/>
      <c r="R67" s="413"/>
      <c r="S67" s="44" t="b">
        <v>0</v>
      </c>
      <c r="T67" s="40"/>
      <c r="U67" s="668"/>
      <c r="V67" s="669"/>
      <c r="W67" s="669"/>
      <c r="X67" s="670"/>
      <c r="Y67" s="39"/>
      <c r="Z67" s="164"/>
      <c r="AA67" s="38"/>
      <c r="AB67" s="701"/>
      <c r="AC67" s="702"/>
      <c r="AD67" s="702"/>
      <c r="AE67" s="703"/>
      <c r="AF67" s="39"/>
      <c r="AG67" s="98"/>
      <c r="AH67" s="117">
        <f t="shared" si="7"/>
        <v>0</v>
      </c>
      <c r="AI67" s="116"/>
      <c r="AJ67" s="734"/>
      <c r="AK67" s="118"/>
    </row>
    <row r="68" spans="2:37" ht="17.55" customHeight="1">
      <c r="B68" s="38"/>
      <c r="C68" s="749"/>
      <c r="D68" s="750"/>
      <c r="E68" s="750"/>
      <c r="F68" s="751"/>
      <c r="G68" s="39"/>
      <c r="H68" s="164"/>
      <c r="I68" s="19"/>
      <c r="J68" s="664"/>
      <c r="K68" s="659"/>
      <c r="L68" s="660"/>
      <c r="M68" s="661"/>
      <c r="N68" s="25"/>
      <c r="O68" s="412" t="s">
        <v>1031</v>
      </c>
      <c r="P68" s="493"/>
      <c r="Q68" s="493"/>
      <c r="R68" s="413"/>
      <c r="S68" s="44" t="b">
        <v>0</v>
      </c>
      <c r="T68" s="40"/>
      <c r="U68" s="671"/>
      <c r="V68" s="672"/>
      <c r="W68" s="672"/>
      <c r="X68" s="673"/>
      <c r="Y68" s="39"/>
      <c r="Z68" s="164"/>
      <c r="AA68" s="38"/>
      <c r="AB68" s="701"/>
      <c r="AC68" s="702"/>
      <c r="AD68" s="702"/>
      <c r="AE68" s="703"/>
      <c r="AF68" s="39"/>
      <c r="AG68" s="98"/>
      <c r="AH68" s="117">
        <f t="shared" si="7"/>
        <v>0</v>
      </c>
      <c r="AI68" s="116"/>
      <c r="AJ68" s="734"/>
      <c r="AK68" s="118"/>
    </row>
    <row r="69" spans="2:37" ht="17.399999999999999">
      <c r="B69" s="19"/>
      <c r="C69" s="749"/>
      <c r="D69" s="750"/>
      <c r="E69" s="750"/>
      <c r="F69" s="751"/>
      <c r="G69" s="20"/>
      <c r="H69" s="162"/>
      <c r="I69" s="19"/>
      <c r="J69" s="60"/>
      <c r="K69" s="213"/>
      <c r="L69" s="213"/>
      <c r="M69" s="213"/>
      <c r="N69" s="17"/>
      <c r="O69" s="40"/>
      <c r="P69" s="40"/>
      <c r="Q69" s="40"/>
      <c r="R69" s="45"/>
      <c r="S69" s="25"/>
      <c r="T69" s="17"/>
      <c r="U69" s="50"/>
      <c r="V69" s="50"/>
      <c r="W69" s="50"/>
      <c r="X69" s="50"/>
      <c r="Y69" s="20"/>
      <c r="Z69" s="162"/>
      <c r="AA69" s="19"/>
      <c r="AB69" s="701"/>
      <c r="AC69" s="702"/>
      <c r="AD69" s="702"/>
      <c r="AE69" s="703"/>
      <c r="AF69" s="20"/>
      <c r="AG69" s="134"/>
      <c r="AH69" s="117"/>
      <c r="AI69" s="116"/>
      <c r="AJ69" s="734"/>
    </row>
    <row r="70" spans="2:37" ht="15.45" customHeight="1">
      <c r="B70" s="38"/>
      <c r="C70" s="749"/>
      <c r="D70" s="750"/>
      <c r="E70" s="750"/>
      <c r="F70" s="751"/>
      <c r="G70" s="39"/>
      <c r="H70" s="164"/>
      <c r="I70" s="19"/>
      <c r="J70" s="662" t="s">
        <v>26</v>
      </c>
      <c r="K70" s="653" t="s">
        <v>194</v>
      </c>
      <c r="L70" s="654"/>
      <c r="M70" s="655"/>
      <c r="N70" s="25"/>
      <c r="O70" s="688" t="s">
        <v>1087</v>
      </c>
      <c r="P70" s="683"/>
      <c r="Q70" s="683"/>
      <c r="R70" s="689"/>
      <c r="S70" s="44" t="b">
        <v>0</v>
      </c>
      <c r="T70" s="40"/>
      <c r="U70" s="665" t="s">
        <v>60</v>
      </c>
      <c r="V70" s="666"/>
      <c r="W70" s="666"/>
      <c r="X70" s="667"/>
      <c r="Y70" s="39"/>
      <c r="Z70" s="164"/>
      <c r="AA70" s="38"/>
      <c r="AB70" s="701"/>
      <c r="AC70" s="702"/>
      <c r="AD70" s="702"/>
      <c r="AE70" s="703"/>
      <c r="AF70" s="39"/>
      <c r="AG70" s="98"/>
      <c r="AH70" s="117">
        <f>IF(S70,1,0)</f>
        <v>0</v>
      </c>
      <c r="AI70" s="110">
        <f>IF(AH70,5,IF(AH71,3,IF(AH72,0,IF(AH73,5,IF(AH74,0,0)))))</f>
        <v>0</v>
      </c>
      <c r="AJ70" s="734"/>
      <c r="AK70" s="118"/>
    </row>
    <row r="71" spans="2:37" ht="15.45" customHeight="1">
      <c r="B71" s="38"/>
      <c r="C71" s="749"/>
      <c r="D71" s="750"/>
      <c r="E71" s="750"/>
      <c r="F71" s="751"/>
      <c r="G71" s="39"/>
      <c r="H71" s="164"/>
      <c r="I71" s="19"/>
      <c r="J71" s="663"/>
      <c r="K71" s="656"/>
      <c r="L71" s="657"/>
      <c r="M71" s="658"/>
      <c r="N71" s="25"/>
      <c r="O71" s="682" t="s">
        <v>808</v>
      </c>
      <c r="P71" s="683"/>
      <c r="Q71" s="683"/>
      <c r="R71" s="684"/>
      <c r="S71" s="414" t="b">
        <v>0</v>
      </c>
      <c r="T71" s="40"/>
      <c r="U71" s="668"/>
      <c r="V71" s="669"/>
      <c r="W71" s="669"/>
      <c r="X71" s="670"/>
      <c r="Y71" s="39"/>
      <c r="Z71" s="164"/>
      <c r="AA71" s="38"/>
      <c r="AB71" s="701"/>
      <c r="AC71" s="702"/>
      <c r="AD71" s="702"/>
      <c r="AE71" s="703"/>
      <c r="AF71" s="39"/>
      <c r="AG71" s="98"/>
      <c r="AH71" s="117">
        <f t="shared" ref="AH71:AH73" si="8">IF(S71,1,0)</f>
        <v>0</v>
      </c>
      <c r="AI71" s="116"/>
      <c r="AJ71" s="734"/>
      <c r="AK71" s="118"/>
    </row>
    <row r="72" spans="2:37" ht="15.45" customHeight="1">
      <c r="B72" s="38"/>
      <c r="C72" s="749"/>
      <c r="D72" s="750"/>
      <c r="E72" s="750"/>
      <c r="F72" s="751"/>
      <c r="G72" s="39"/>
      <c r="H72" s="164"/>
      <c r="I72" s="19"/>
      <c r="J72" s="663"/>
      <c r="K72" s="656"/>
      <c r="L72" s="657"/>
      <c r="M72" s="658"/>
      <c r="N72" s="25"/>
      <c r="O72" s="688" t="s">
        <v>1030</v>
      </c>
      <c r="P72" s="683"/>
      <c r="Q72" s="683"/>
      <c r="R72" s="689"/>
      <c r="S72" s="44" t="b">
        <v>0</v>
      </c>
      <c r="T72" s="40"/>
      <c r="U72" s="668"/>
      <c r="V72" s="669"/>
      <c r="W72" s="669"/>
      <c r="X72" s="670"/>
      <c r="Y72" s="39"/>
      <c r="Z72" s="164"/>
      <c r="AA72" s="38"/>
      <c r="AB72" s="701"/>
      <c r="AC72" s="702"/>
      <c r="AD72" s="702"/>
      <c r="AE72" s="703"/>
      <c r="AF72" s="39"/>
      <c r="AG72" s="98"/>
      <c r="AH72" s="117">
        <f t="shared" si="8"/>
        <v>0</v>
      </c>
      <c r="AI72" s="116"/>
      <c r="AJ72" s="734"/>
      <c r="AK72" s="118"/>
    </row>
    <row r="73" spans="2:37" ht="15.45" customHeight="1">
      <c r="B73" s="38"/>
      <c r="C73" s="749"/>
      <c r="D73" s="750"/>
      <c r="E73" s="750"/>
      <c r="F73" s="751"/>
      <c r="G73" s="39"/>
      <c r="H73" s="164"/>
      <c r="I73" s="19"/>
      <c r="J73" s="663"/>
      <c r="K73" s="656"/>
      <c r="L73" s="657"/>
      <c r="M73" s="658"/>
      <c r="N73" s="25"/>
      <c r="O73" s="412" t="s">
        <v>363</v>
      </c>
      <c r="P73" s="493"/>
      <c r="Q73" s="493"/>
      <c r="R73" s="413"/>
      <c r="S73" s="44" t="b">
        <v>0</v>
      </c>
      <c r="T73" s="40"/>
      <c r="U73" s="668"/>
      <c r="V73" s="669"/>
      <c r="W73" s="669"/>
      <c r="X73" s="670"/>
      <c r="Y73" s="39"/>
      <c r="Z73" s="164"/>
      <c r="AA73" s="38"/>
      <c r="AB73" s="701"/>
      <c r="AC73" s="702"/>
      <c r="AD73" s="702"/>
      <c r="AE73" s="703"/>
      <c r="AF73" s="39"/>
      <c r="AG73" s="98"/>
      <c r="AH73" s="117">
        <f t="shared" si="8"/>
        <v>0</v>
      </c>
      <c r="AI73" s="116"/>
      <c r="AJ73" s="734"/>
      <c r="AK73" s="118"/>
    </row>
    <row r="74" spans="2:37" ht="17.55" customHeight="1">
      <c r="B74" s="38"/>
      <c r="C74" s="749"/>
      <c r="D74" s="750"/>
      <c r="E74" s="750"/>
      <c r="F74" s="751"/>
      <c r="G74" s="39"/>
      <c r="H74" s="164"/>
      <c r="I74" s="19"/>
      <c r="J74" s="664"/>
      <c r="K74" s="659"/>
      <c r="L74" s="660"/>
      <c r="M74" s="661"/>
      <c r="N74" s="25"/>
      <c r="O74" s="412" t="s">
        <v>1031</v>
      </c>
      <c r="P74" s="493"/>
      <c r="Q74" s="493"/>
      <c r="R74" s="413"/>
      <c r="S74" s="44" t="b">
        <v>0</v>
      </c>
      <c r="T74" s="40"/>
      <c r="U74" s="671"/>
      <c r="V74" s="672"/>
      <c r="W74" s="672"/>
      <c r="X74" s="673"/>
      <c r="Y74" s="39"/>
      <c r="Z74" s="164"/>
      <c r="AA74" s="38"/>
      <c r="AB74" s="701"/>
      <c r="AC74" s="702"/>
      <c r="AD74" s="702"/>
      <c r="AE74" s="703"/>
      <c r="AF74" s="39"/>
      <c r="AG74" s="98"/>
      <c r="AH74" s="117">
        <f>IF(S74,1,0)</f>
        <v>0</v>
      </c>
      <c r="AI74" s="116"/>
      <c r="AJ74" s="734"/>
      <c r="AK74" s="118"/>
    </row>
    <row r="75" spans="2:37" ht="17.399999999999999">
      <c r="B75" s="19"/>
      <c r="C75" s="749"/>
      <c r="D75" s="750"/>
      <c r="E75" s="750"/>
      <c r="F75" s="751"/>
      <c r="G75" s="20"/>
      <c r="H75" s="162"/>
      <c r="I75" s="19"/>
      <c r="J75" s="60"/>
      <c r="K75" s="213"/>
      <c r="L75" s="213"/>
      <c r="M75" s="213"/>
      <c r="N75" s="17"/>
      <c r="O75" s="40"/>
      <c r="P75" s="40"/>
      <c r="Q75" s="40"/>
      <c r="R75" s="45"/>
      <c r="S75" s="25"/>
      <c r="T75" s="17"/>
      <c r="U75" s="50"/>
      <c r="V75" s="50"/>
      <c r="W75" s="50"/>
      <c r="X75" s="50"/>
      <c r="Y75" s="20"/>
      <c r="Z75" s="162"/>
      <c r="AA75" s="19"/>
      <c r="AB75" s="701"/>
      <c r="AC75" s="702"/>
      <c r="AD75" s="702"/>
      <c r="AE75" s="703"/>
      <c r="AF75" s="20"/>
      <c r="AG75" s="134"/>
      <c r="AH75" s="117"/>
      <c r="AI75" s="116"/>
      <c r="AJ75" s="734"/>
    </row>
    <row r="76" spans="2:37" ht="15.45" customHeight="1">
      <c r="B76" s="38"/>
      <c r="C76" s="749"/>
      <c r="D76" s="750"/>
      <c r="E76" s="750"/>
      <c r="F76" s="751"/>
      <c r="G76" s="39"/>
      <c r="H76" s="164"/>
      <c r="I76" s="19"/>
      <c r="J76" s="662" t="s">
        <v>27</v>
      </c>
      <c r="K76" s="653" t="s">
        <v>195</v>
      </c>
      <c r="L76" s="654"/>
      <c r="M76" s="655"/>
      <c r="N76" s="25"/>
      <c r="O76" s="688" t="s">
        <v>1087</v>
      </c>
      <c r="P76" s="683"/>
      <c r="Q76" s="683"/>
      <c r="R76" s="689"/>
      <c r="S76" s="44" t="b">
        <v>0</v>
      </c>
      <c r="T76" s="40"/>
      <c r="U76" s="665" t="s">
        <v>60</v>
      </c>
      <c r="V76" s="666"/>
      <c r="W76" s="666"/>
      <c r="X76" s="667"/>
      <c r="Y76" s="39"/>
      <c r="Z76" s="164"/>
      <c r="AA76" s="38"/>
      <c r="AB76" s="701"/>
      <c r="AC76" s="702"/>
      <c r="AD76" s="702"/>
      <c r="AE76" s="703"/>
      <c r="AF76" s="39"/>
      <c r="AG76" s="98"/>
      <c r="AH76" s="117">
        <f>IF(S76,1,0)</f>
        <v>0</v>
      </c>
      <c r="AI76" s="110">
        <f>IF(AH76,5,IF(AH77,3,IF(AH78,0,IF(AH79,5,IF(AH80,0,0)))))</f>
        <v>0</v>
      </c>
      <c r="AJ76" s="734"/>
      <c r="AK76" s="118"/>
    </row>
    <row r="77" spans="2:37" ht="15.45" customHeight="1">
      <c r="B77" s="38"/>
      <c r="C77" s="749"/>
      <c r="D77" s="750"/>
      <c r="E77" s="750"/>
      <c r="F77" s="751"/>
      <c r="G77" s="39"/>
      <c r="H77" s="164"/>
      <c r="I77" s="19"/>
      <c r="J77" s="663"/>
      <c r="K77" s="656"/>
      <c r="L77" s="657"/>
      <c r="M77" s="658"/>
      <c r="N77" s="25"/>
      <c r="O77" s="682" t="s">
        <v>808</v>
      </c>
      <c r="P77" s="683"/>
      <c r="Q77" s="683"/>
      <c r="R77" s="684"/>
      <c r="S77" s="414" t="b">
        <v>0</v>
      </c>
      <c r="T77" s="40"/>
      <c r="U77" s="668"/>
      <c r="V77" s="669"/>
      <c r="W77" s="669"/>
      <c r="X77" s="670"/>
      <c r="Y77" s="39"/>
      <c r="Z77" s="164"/>
      <c r="AA77" s="38"/>
      <c r="AB77" s="701"/>
      <c r="AC77" s="702"/>
      <c r="AD77" s="702"/>
      <c r="AE77" s="703"/>
      <c r="AF77" s="39"/>
      <c r="AG77" s="98"/>
      <c r="AH77" s="117">
        <f t="shared" ref="AH77:AH79" si="9">IF(S77,1,0)</f>
        <v>0</v>
      </c>
      <c r="AI77" s="116"/>
      <c r="AJ77" s="734"/>
      <c r="AK77" s="118"/>
    </row>
    <row r="78" spans="2:37" ht="15.45" customHeight="1">
      <c r="B78" s="38"/>
      <c r="C78" s="749"/>
      <c r="D78" s="750"/>
      <c r="E78" s="750"/>
      <c r="F78" s="751"/>
      <c r="G78" s="39"/>
      <c r="H78" s="164"/>
      <c r="I78" s="19"/>
      <c r="J78" s="663"/>
      <c r="K78" s="656"/>
      <c r="L78" s="657"/>
      <c r="M78" s="658"/>
      <c r="N78" s="25"/>
      <c r="O78" s="688" t="s">
        <v>1030</v>
      </c>
      <c r="P78" s="683"/>
      <c r="Q78" s="683"/>
      <c r="R78" s="689"/>
      <c r="S78" s="44" t="b">
        <v>0</v>
      </c>
      <c r="T78" s="40"/>
      <c r="U78" s="668"/>
      <c r="V78" s="669"/>
      <c r="W78" s="669"/>
      <c r="X78" s="670"/>
      <c r="Y78" s="39"/>
      <c r="Z78" s="164"/>
      <c r="AA78" s="38"/>
      <c r="AB78" s="701"/>
      <c r="AC78" s="702"/>
      <c r="AD78" s="702"/>
      <c r="AE78" s="703"/>
      <c r="AF78" s="39"/>
      <c r="AG78" s="98"/>
      <c r="AH78" s="117">
        <f t="shared" si="9"/>
        <v>0</v>
      </c>
      <c r="AI78" s="116"/>
      <c r="AJ78" s="734"/>
      <c r="AK78" s="118"/>
    </row>
    <row r="79" spans="2:37" ht="15.45" customHeight="1">
      <c r="B79" s="38"/>
      <c r="C79" s="749"/>
      <c r="D79" s="750"/>
      <c r="E79" s="750"/>
      <c r="F79" s="751"/>
      <c r="G79" s="39"/>
      <c r="H79" s="164"/>
      <c r="I79" s="19"/>
      <c r="J79" s="663"/>
      <c r="K79" s="656"/>
      <c r="L79" s="657"/>
      <c r="M79" s="658"/>
      <c r="N79" s="25"/>
      <c r="O79" s="412" t="s">
        <v>363</v>
      </c>
      <c r="P79" s="493"/>
      <c r="Q79" s="493"/>
      <c r="R79" s="413"/>
      <c r="S79" s="44" t="b">
        <v>0</v>
      </c>
      <c r="T79" s="40"/>
      <c r="U79" s="668"/>
      <c r="V79" s="669"/>
      <c r="W79" s="669"/>
      <c r="X79" s="670"/>
      <c r="Y79" s="39"/>
      <c r="Z79" s="164"/>
      <c r="AA79" s="38"/>
      <c r="AB79" s="701"/>
      <c r="AC79" s="702"/>
      <c r="AD79" s="702"/>
      <c r="AE79" s="703"/>
      <c r="AF79" s="39"/>
      <c r="AG79" s="98"/>
      <c r="AH79" s="117">
        <f t="shared" si="9"/>
        <v>0</v>
      </c>
      <c r="AI79" s="116"/>
      <c r="AJ79" s="734"/>
      <c r="AK79" s="118"/>
    </row>
    <row r="80" spans="2:37" ht="17.55" customHeight="1">
      <c r="B80" s="38"/>
      <c r="C80" s="749"/>
      <c r="D80" s="750"/>
      <c r="E80" s="750"/>
      <c r="F80" s="751"/>
      <c r="G80" s="39"/>
      <c r="H80" s="164"/>
      <c r="I80" s="19"/>
      <c r="J80" s="664"/>
      <c r="K80" s="659"/>
      <c r="L80" s="660"/>
      <c r="M80" s="661"/>
      <c r="N80" s="25"/>
      <c r="O80" s="412" t="s">
        <v>1031</v>
      </c>
      <c r="P80" s="493"/>
      <c r="Q80" s="493"/>
      <c r="R80" s="413"/>
      <c r="S80" s="44" t="b">
        <v>0</v>
      </c>
      <c r="T80" s="40"/>
      <c r="U80" s="671"/>
      <c r="V80" s="672"/>
      <c r="W80" s="672"/>
      <c r="X80" s="673"/>
      <c r="Y80" s="39"/>
      <c r="Z80" s="164"/>
      <c r="AA80" s="38"/>
      <c r="AB80" s="701"/>
      <c r="AC80" s="702"/>
      <c r="AD80" s="702"/>
      <c r="AE80" s="703"/>
      <c r="AF80" s="39"/>
      <c r="AG80" s="98"/>
      <c r="AH80" s="117">
        <f>IF(S80,1,0)</f>
        <v>0</v>
      </c>
      <c r="AI80" s="116"/>
      <c r="AJ80" s="734"/>
      <c r="AK80" s="118"/>
    </row>
    <row r="81" spans="2:42" ht="17.399999999999999">
      <c r="B81" s="19"/>
      <c r="C81" s="749"/>
      <c r="D81" s="750"/>
      <c r="E81" s="750"/>
      <c r="F81" s="751"/>
      <c r="G81" s="20"/>
      <c r="H81" s="162"/>
      <c r="I81" s="19"/>
      <c r="J81" s="60"/>
      <c r="K81" s="213"/>
      <c r="L81" s="213"/>
      <c r="M81" s="213"/>
      <c r="N81" s="17"/>
      <c r="O81" s="40"/>
      <c r="P81" s="40"/>
      <c r="Q81" s="40"/>
      <c r="R81" s="45"/>
      <c r="S81" s="25"/>
      <c r="T81" s="17"/>
      <c r="U81" s="50"/>
      <c r="V81" s="50"/>
      <c r="W81" s="50"/>
      <c r="X81" s="50"/>
      <c r="Y81" s="20"/>
      <c r="Z81" s="162"/>
      <c r="AA81" s="19"/>
      <c r="AB81" s="701"/>
      <c r="AC81" s="702"/>
      <c r="AD81" s="702"/>
      <c r="AE81" s="703"/>
      <c r="AF81" s="20"/>
      <c r="AG81" s="134"/>
      <c r="AH81" s="117"/>
      <c r="AI81" s="116"/>
      <c r="AJ81" s="734"/>
    </row>
    <row r="82" spans="2:42" ht="15.45" customHeight="1">
      <c r="B82" s="38"/>
      <c r="C82" s="749"/>
      <c r="D82" s="750"/>
      <c r="E82" s="750"/>
      <c r="F82" s="751"/>
      <c r="G82" s="39"/>
      <c r="H82" s="164"/>
      <c r="I82" s="19"/>
      <c r="J82" s="662" t="s">
        <v>28</v>
      </c>
      <c r="K82" s="653" t="s">
        <v>1169</v>
      </c>
      <c r="L82" s="654"/>
      <c r="M82" s="655"/>
      <c r="N82" s="25"/>
      <c r="O82" s="688" t="s">
        <v>1087</v>
      </c>
      <c r="P82" s="683"/>
      <c r="Q82" s="683"/>
      <c r="R82" s="689"/>
      <c r="S82" s="44" t="b">
        <v>0</v>
      </c>
      <c r="T82" s="40"/>
      <c r="U82" s="665" t="s">
        <v>60</v>
      </c>
      <c r="V82" s="666"/>
      <c r="W82" s="666"/>
      <c r="X82" s="667"/>
      <c r="Y82" s="39"/>
      <c r="Z82" s="164"/>
      <c r="AA82" s="38"/>
      <c r="AB82" s="701"/>
      <c r="AC82" s="702"/>
      <c r="AD82" s="702"/>
      <c r="AE82" s="703"/>
      <c r="AF82" s="39"/>
      <c r="AG82" s="98"/>
      <c r="AH82" s="117">
        <f>IF(S82,1,0)</f>
        <v>0</v>
      </c>
      <c r="AI82" s="110">
        <f>IF(AH82,5,IF(AH83,3,IF(AH84,0,IF(AH85,5,IF(AH86,0,0)))))</f>
        <v>0</v>
      </c>
      <c r="AJ82" s="734"/>
      <c r="AK82" s="118"/>
    </row>
    <row r="83" spans="2:42" ht="15.45" customHeight="1">
      <c r="B83" s="38"/>
      <c r="C83" s="749"/>
      <c r="D83" s="750"/>
      <c r="E83" s="750"/>
      <c r="F83" s="751"/>
      <c r="G83" s="39"/>
      <c r="H83" s="164"/>
      <c r="I83" s="19"/>
      <c r="J83" s="663"/>
      <c r="K83" s="656"/>
      <c r="L83" s="657"/>
      <c r="M83" s="658"/>
      <c r="N83" s="25"/>
      <c r="O83" s="682" t="s">
        <v>808</v>
      </c>
      <c r="P83" s="683"/>
      <c r="Q83" s="683"/>
      <c r="R83" s="684"/>
      <c r="S83" s="414" t="b">
        <v>0</v>
      </c>
      <c r="T83" s="40"/>
      <c r="U83" s="668"/>
      <c r="V83" s="669"/>
      <c r="W83" s="669"/>
      <c r="X83" s="670"/>
      <c r="Y83" s="39"/>
      <c r="Z83" s="164"/>
      <c r="AA83" s="38"/>
      <c r="AB83" s="701"/>
      <c r="AC83" s="702"/>
      <c r="AD83" s="702"/>
      <c r="AE83" s="703"/>
      <c r="AF83" s="39"/>
      <c r="AG83" s="98"/>
      <c r="AH83" s="117">
        <f t="shared" ref="AH83:AH86" si="10">IF(S83,1,0)</f>
        <v>0</v>
      </c>
      <c r="AI83" s="116"/>
      <c r="AJ83" s="734"/>
      <c r="AK83" s="118"/>
    </row>
    <row r="84" spans="2:42" ht="15.45" customHeight="1">
      <c r="B84" s="38"/>
      <c r="C84" s="749"/>
      <c r="D84" s="750"/>
      <c r="E84" s="750"/>
      <c r="F84" s="751"/>
      <c r="G84" s="39"/>
      <c r="H84" s="164"/>
      <c r="I84" s="19"/>
      <c r="J84" s="663"/>
      <c r="K84" s="656"/>
      <c r="L84" s="657"/>
      <c r="M84" s="658"/>
      <c r="N84" s="25"/>
      <c r="O84" s="688" t="s">
        <v>1030</v>
      </c>
      <c r="P84" s="683"/>
      <c r="Q84" s="683"/>
      <c r="R84" s="689"/>
      <c r="S84" s="44" t="b">
        <v>0</v>
      </c>
      <c r="T84" s="40"/>
      <c r="U84" s="668"/>
      <c r="V84" s="669"/>
      <c r="W84" s="669"/>
      <c r="X84" s="670"/>
      <c r="Y84" s="39"/>
      <c r="Z84" s="164"/>
      <c r="AA84" s="38"/>
      <c r="AB84" s="701"/>
      <c r="AC84" s="702"/>
      <c r="AD84" s="702"/>
      <c r="AE84" s="703"/>
      <c r="AF84" s="39"/>
      <c r="AG84" s="98"/>
      <c r="AH84" s="117">
        <f t="shared" si="10"/>
        <v>0</v>
      </c>
      <c r="AI84" s="116"/>
      <c r="AJ84" s="734"/>
      <c r="AK84" s="118"/>
    </row>
    <row r="85" spans="2:42" ht="15.45" customHeight="1">
      <c r="B85" s="38"/>
      <c r="C85" s="749"/>
      <c r="D85" s="750"/>
      <c r="E85" s="750"/>
      <c r="F85" s="751"/>
      <c r="G85" s="39"/>
      <c r="H85" s="164"/>
      <c r="I85" s="19"/>
      <c r="J85" s="663"/>
      <c r="K85" s="656"/>
      <c r="L85" s="657"/>
      <c r="M85" s="658"/>
      <c r="N85" s="25"/>
      <c r="O85" s="412" t="s">
        <v>363</v>
      </c>
      <c r="P85" s="493"/>
      <c r="Q85" s="493"/>
      <c r="R85" s="413"/>
      <c r="S85" s="44" t="b">
        <v>0</v>
      </c>
      <c r="T85" s="40"/>
      <c r="U85" s="668"/>
      <c r="V85" s="669"/>
      <c r="W85" s="669"/>
      <c r="X85" s="670"/>
      <c r="Y85" s="39"/>
      <c r="Z85" s="164"/>
      <c r="AA85" s="38"/>
      <c r="AB85" s="701"/>
      <c r="AC85" s="702"/>
      <c r="AD85" s="702"/>
      <c r="AE85" s="703"/>
      <c r="AF85" s="39"/>
      <c r="AG85" s="98"/>
      <c r="AH85" s="117">
        <f t="shared" si="10"/>
        <v>0</v>
      </c>
      <c r="AI85" s="116"/>
      <c r="AJ85" s="734"/>
      <c r="AK85" s="118"/>
    </row>
    <row r="86" spans="2:42" ht="17.55" customHeight="1">
      <c r="B86" s="38"/>
      <c r="C86" s="749"/>
      <c r="D86" s="750"/>
      <c r="E86" s="750"/>
      <c r="F86" s="751"/>
      <c r="G86" s="39"/>
      <c r="H86" s="164"/>
      <c r="I86" s="19"/>
      <c r="J86" s="664"/>
      <c r="K86" s="659"/>
      <c r="L86" s="660"/>
      <c r="M86" s="661"/>
      <c r="N86" s="25"/>
      <c r="O86" s="412" t="s">
        <v>1031</v>
      </c>
      <c r="P86" s="493"/>
      <c r="Q86" s="493"/>
      <c r="R86" s="413"/>
      <c r="S86" s="44" t="b">
        <v>0</v>
      </c>
      <c r="T86" s="40"/>
      <c r="U86" s="671"/>
      <c r="V86" s="672"/>
      <c r="W86" s="672"/>
      <c r="X86" s="673"/>
      <c r="Y86" s="39"/>
      <c r="Z86" s="164"/>
      <c r="AA86" s="38"/>
      <c r="AB86" s="704"/>
      <c r="AC86" s="705"/>
      <c r="AD86" s="705"/>
      <c r="AE86" s="706"/>
      <c r="AF86" s="39"/>
      <c r="AG86" s="98"/>
      <c r="AH86" s="117">
        <f t="shared" si="10"/>
        <v>0</v>
      </c>
      <c r="AI86" s="116"/>
      <c r="AJ86" s="734"/>
      <c r="AK86" s="118"/>
    </row>
    <row r="87" spans="2:42" ht="17.399999999999999">
      <c r="B87" s="38"/>
      <c r="C87" s="749"/>
      <c r="D87" s="750"/>
      <c r="E87" s="750"/>
      <c r="F87" s="751"/>
      <c r="G87" s="39"/>
      <c r="H87" s="164"/>
      <c r="I87" s="19"/>
      <c r="J87" s="57"/>
      <c r="K87" s="210"/>
      <c r="L87" s="210"/>
      <c r="M87" s="210"/>
      <c r="N87" s="25"/>
      <c r="O87" s="62"/>
      <c r="P87" s="62"/>
      <c r="Q87" s="62"/>
      <c r="R87" s="51"/>
      <c r="S87" s="25"/>
      <c r="T87" s="40"/>
      <c r="U87" s="30"/>
      <c r="V87" s="30"/>
      <c r="W87" s="30"/>
      <c r="X87" s="30"/>
      <c r="Y87" s="39"/>
      <c r="Z87" s="164"/>
      <c r="AA87" s="38"/>
      <c r="AB87" s="22"/>
      <c r="AC87" s="22"/>
      <c r="AD87" s="22"/>
      <c r="AE87" s="22"/>
      <c r="AF87" s="39"/>
      <c r="AG87" s="97"/>
      <c r="AH87" s="117"/>
      <c r="AI87" s="116"/>
      <c r="AJ87" s="734"/>
      <c r="AK87" s="118"/>
    </row>
    <row r="88" spans="2:42" ht="31.5" customHeight="1">
      <c r="B88" s="27"/>
      <c r="C88" s="749"/>
      <c r="D88" s="750"/>
      <c r="E88" s="750"/>
      <c r="F88" s="751"/>
      <c r="G88" s="23"/>
      <c r="H88" s="163"/>
      <c r="I88" s="19"/>
      <c r="J88" s="742">
        <v>2.2999999999999998</v>
      </c>
      <c r="K88" s="743" t="s">
        <v>196</v>
      </c>
      <c r="L88" s="744"/>
      <c r="M88" s="745"/>
      <c r="N88" s="22"/>
      <c r="O88" s="685" t="s">
        <v>911</v>
      </c>
      <c r="P88" s="686"/>
      <c r="Q88" s="686"/>
      <c r="R88" s="687"/>
      <c r="S88" s="46" t="b">
        <v>0</v>
      </c>
      <c r="T88" s="22"/>
      <c r="U88" s="693" t="s">
        <v>60</v>
      </c>
      <c r="V88" s="693"/>
      <c r="W88" s="693"/>
      <c r="X88" s="693"/>
      <c r="Y88" s="23"/>
      <c r="Z88" s="163"/>
      <c r="AA88" s="27"/>
      <c r="AB88" s="698" t="str">
        <f>IF(AH91,Feedback_List!B8,IF(AH90,Feedback_List!C8,IF(AH89,Feedback_List!C8," ")))</f>
        <v xml:space="preserve"> </v>
      </c>
      <c r="AC88" s="699"/>
      <c r="AD88" s="699"/>
      <c r="AE88" s="700"/>
      <c r="AF88" s="23"/>
      <c r="AG88" s="96"/>
      <c r="AH88" s="117">
        <f>IF(S88,1,0)</f>
        <v>0</v>
      </c>
      <c r="AI88" s="116">
        <f>IF(AH88,7,IF(AH89,5,IF(AH90,3,IF(AH91,0,0))))</f>
        <v>0</v>
      </c>
      <c r="AJ88" s="734"/>
    </row>
    <row r="89" spans="2:42" ht="31.5" customHeight="1">
      <c r="B89" s="27"/>
      <c r="C89" s="749"/>
      <c r="D89" s="750"/>
      <c r="E89" s="750"/>
      <c r="F89" s="751"/>
      <c r="G89" s="23"/>
      <c r="H89" s="163"/>
      <c r="I89" s="19"/>
      <c r="J89" s="663"/>
      <c r="K89" s="713"/>
      <c r="L89" s="714"/>
      <c r="M89" s="715"/>
      <c r="N89" s="22"/>
      <c r="O89" s="579" t="s">
        <v>912</v>
      </c>
      <c r="P89" s="580"/>
      <c r="Q89" s="580"/>
      <c r="R89" s="581"/>
      <c r="S89" s="46" t="b">
        <v>0</v>
      </c>
      <c r="T89" s="22"/>
      <c r="U89" s="693"/>
      <c r="V89" s="693"/>
      <c r="W89" s="693"/>
      <c r="X89" s="693"/>
      <c r="Y89" s="23"/>
      <c r="Z89" s="163"/>
      <c r="AA89" s="27"/>
      <c r="AB89" s="701"/>
      <c r="AC89" s="702"/>
      <c r="AD89" s="702"/>
      <c r="AE89" s="703"/>
      <c r="AF89" s="23"/>
      <c r="AG89" s="96"/>
      <c r="AH89" s="117">
        <f t="shared" ref="AH89:AH91" si="11">IF(S89,1,0)</f>
        <v>0</v>
      </c>
      <c r="AI89" s="110"/>
      <c r="AJ89" s="734"/>
    </row>
    <row r="90" spans="2:42" ht="31.5" customHeight="1">
      <c r="B90" s="27"/>
      <c r="C90" s="749"/>
      <c r="D90" s="750"/>
      <c r="E90" s="750"/>
      <c r="F90" s="751"/>
      <c r="G90" s="23"/>
      <c r="H90" s="163"/>
      <c r="I90" s="19"/>
      <c r="J90" s="663"/>
      <c r="K90" s="713"/>
      <c r="L90" s="714"/>
      <c r="M90" s="715"/>
      <c r="N90" s="22"/>
      <c r="O90" s="579" t="s">
        <v>913</v>
      </c>
      <c r="P90" s="580"/>
      <c r="Q90" s="580"/>
      <c r="R90" s="581"/>
      <c r="S90" s="46" t="b">
        <v>0</v>
      </c>
      <c r="T90" s="22"/>
      <c r="U90" s="693"/>
      <c r="V90" s="693"/>
      <c r="W90" s="693"/>
      <c r="X90" s="693"/>
      <c r="Y90" s="23"/>
      <c r="Z90" s="163"/>
      <c r="AA90" s="27"/>
      <c r="AB90" s="701"/>
      <c r="AC90" s="702"/>
      <c r="AD90" s="702"/>
      <c r="AE90" s="703"/>
      <c r="AF90" s="23"/>
      <c r="AG90" s="96"/>
      <c r="AH90" s="117">
        <f t="shared" si="11"/>
        <v>0</v>
      </c>
      <c r="AI90" s="110"/>
      <c r="AJ90" s="734"/>
    </row>
    <row r="91" spans="2:42" ht="31.5" customHeight="1">
      <c r="B91" s="27"/>
      <c r="C91" s="752"/>
      <c r="D91" s="753"/>
      <c r="E91" s="753"/>
      <c r="F91" s="754"/>
      <c r="G91" s="23"/>
      <c r="H91" s="163"/>
      <c r="I91" s="19"/>
      <c r="J91" s="664"/>
      <c r="K91" s="716"/>
      <c r="L91" s="717"/>
      <c r="M91" s="718"/>
      <c r="N91" s="22"/>
      <c r="O91" s="579" t="s">
        <v>173</v>
      </c>
      <c r="P91" s="580"/>
      <c r="Q91" s="580"/>
      <c r="R91" s="581"/>
      <c r="S91" s="46" t="b">
        <v>0</v>
      </c>
      <c r="T91" s="22"/>
      <c r="U91" s="693"/>
      <c r="V91" s="693"/>
      <c r="W91" s="693"/>
      <c r="X91" s="693"/>
      <c r="Y91" s="23"/>
      <c r="Z91" s="163"/>
      <c r="AA91" s="27"/>
      <c r="AB91" s="701"/>
      <c r="AC91" s="702"/>
      <c r="AD91" s="702"/>
      <c r="AE91" s="703"/>
      <c r="AF91" s="23"/>
      <c r="AG91" s="96"/>
      <c r="AH91" s="117">
        <f t="shared" si="11"/>
        <v>0</v>
      </c>
      <c r="AI91" s="119"/>
      <c r="AJ91" s="735"/>
    </row>
    <row r="92" spans="2:42" ht="18" thickBot="1">
      <c r="B92" s="27"/>
      <c r="C92" s="22"/>
      <c r="D92" s="22"/>
      <c r="E92" s="22"/>
      <c r="F92" s="22"/>
      <c r="G92" s="23"/>
      <c r="H92" s="163"/>
      <c r="I92" s="19"/>
      <c r="J92" s="57"/>
      <c r="K92" s="172"/>
      <c r="L92" s="172"/>
      <c r="M92" s="172"/>
      <c r="N92" s="22"/>
      <c r="O92" s="22"/>
      <c r="P92" s="22"/>
      <c r="Q92" s="22"/>
      <c r="R92" s="22"/>
      <c r="S92" s="24"/>
      <c r="T92" s="22"/>
      <c r="U92" s="26"/>
      <c r="V92" s="26"/>
      <c r="W92" s="26"/>
      <c r="X92" s="26"/>
      <c r="Y92" s="23"/>
      <c r="Z92" s="163"/>
      <c r="AA92" s="27"/>
      <c r="AB92" s="704"/>
      <c r="AC92" s="705"/>
      <c r="AD92" s="705"/>
      <c r="AE92" s="706"/>
      <c r="AF92" s="23"/>
      <c r="AG92" s="96"/>
      <c r="AH92" s="120">
        <f>SUM(AH45:AH91)</f>
        <v>0</v>
      </c>
      <c r="AI92" s="120">
        <f>SUM(AI45:AI91)</f>
        <v>0</v>
      </c>
      <c r="AJ92" s="120"/>
    </row>
    <row r="93" spans="2:42" ht="18" thickTop="1">
      <c r="B93" s="19"/>
      <c r="C93" s="45"/>
      <c r="D93" s="45"/>
      <c r="E93" s="45"/>
      <c r="F93" s="45"/>
      <c r="G93" s="20"/>
      <c r="H93" s="162"/>
      <c r="I93" s="19"/>
      <c r="J93" s="28" t="s">
        <v>29</v>
      </c>
      <c r="K93" s="209" t="s">
        <v>1032</v>
      </c>
      <c r="L93" s="208"/>
      <c r="M93" s="208"/>
      <c r="N93" s="17"/>
      <c r="O93" s="40"/>
      <c r="P93" s="40"/>
      <c r="Q93" s="40"/>
      <c r="R93" s="17"/>
      <c r="S93" s="25"/>
      <c r="T93" s="17"/>
      <c r="U93" s="50"/>
      <c r="V93" s="50"/>
      <c r="W93" s="50"/>
      <c r="X93" s="50"/>
      <c r="Y93" s="20"/>
      <c r="Z93" s="162"/>
      <c r="AA93" s="19"/>
      <c r="AB93" s="45"/>
      <c r="AC93" s="45"/>
      <c r="AD93" s="45"/>
      <c r="AE93" s="45"/>
      <c r="AF93" s="20"/>
    </row>
    <row r="94" spans="2:42" ht="17.399999999999999">
      <c r="B94" s="19"/>
      <c r="C94" s="45"/>
      <c r="D94" s="45"/>
      <c r="E94" s="45"/>
      <c r="F94" s="45"/>
      <c r="G94" s="20"/>
      <c r="H94" s="162"/>
      <c r="I94" s="19"/>
      <c r="J94" s="56"/>
      <c r="K94" s="208"/>
      <c r="L94" s="208"/>
      <c r="M94" s="208"/>
      <c r="N94" s="17"/>
      <c r="O94" s="40"/>
      <c r="P94" s="40"/>
      <c r="Q94" s="40"/>
      <c r="R94" s="17"/>
      <c r="S94" s="25"/>
      <c r="T94" s="17"/>
      <c r="U94" s="50"/>
      <c r="V94" s="50"/>
      <c r="W94" s="50"/>
      <c r="X94" s="50"/>
      <c r="Y94" s="20"/>
      <c r="Z94" s="162"/>
      <c r="AA94" s="19"/>
      <c r="AB94" s="45"/>
      <c r="AC94" s="45"/>
      <c r="AD94" s="45"/>
      <c r="AE94" s="45"/>
      <c r="AF94" s="20"/>
    </row>
    <row r="95" spans="2:42">
      <c r="B95" s="19"/>
      <c r="C95" s="665" t="s">
        <v>1113</v>
      </c>
      <c r="D95" s="666"/>
      <c r="E95" s="666"/>
      <c r="F95" s="667"/>
      <c r="G95" s="20"/>
      <c r="H95" s="162"/>
      <c r="I95" s="19"/>
      <c r="J95" s="719">
        <v>3.1</v>
      </c>
      <c r="K95" s="720" t="s">
        <v>1033</v>
      </c>
      <c r="L95" s="720"/>
      <c r="M95" s="720"/>
      <c r="N95" s="52"/>
      <c r="O95" s="690" t="s">
        <v>914</v>
      </c>
      <c r="P95" s="620"/>
      <c r="Q95" s="620"/>
      <c r="R95" s="690"/>
      <c r="S95" s="46" t="b">
        <v>0</v>
      </c>
      <c r="T95" s="22"/>
      <c r="U95" s="693" t="s">
        <v>60</v>
      </c>
      <c r="V95" s="693"/>
      <c r="W95" s="693"/>
      <c r="X95" s="693"/>
      <c r="Y95" s="20"/>
      <c r="Z95" s="162"/>
      <c r="AA95" s="19"/>
      <c r="AB95" s="698"/>
      <c r="AC95" s="699"/>
      <c r="AD95" s="699"/>
      <c r="AE95" s="700"/>
      <c r="AF95" s="20"/>
      <c r="AH95" s="186">
        <f>IF(S95,1,0)</f>
        <v>0</v>
      </c>
      <c r="AI95" s="192">
        <f>IF(AH95,7,IF(AH96,5,IF(AH97,5,IF(AH98,3,IF(AH99,0,0)))))</f>
        <v>0</v>
      </c>
      <c r="AJ95" s="694">
        <f>(SUM(AI95:AI109)+AM100) * AO11</f>
        <v>0</v>
      </c>
    </row>
    <row r="96" spans="2:42" ht="30">
      <c r="B96" s="19"/>
      <c r="C96" s="668"/>
      <c r="D96" s="669"/>
      <c r="E96" s="669"/>
      <c r="F96" s="670"/>
      <c r="G96" s="20"/>
      <c r="H96" s="162"/>
      <c r="I96" s="19"/>
      <c r="J96" s="719"/>
      <c r="K96" s="720"/>
      <c r="L96" s="720"/>
      <c r="M96" s="720"/>
      <c r="N96" s="52"/>
      <c r="O96" s="690" t="s">
        <v>1026</v>
      </c>
      <c r="P96" s="620"/>
      <c r="Q96" s="620"/>
      <c r="R96" s="690"/>
      <c r="S96" s="46" t="b">
        <v>0</v>
      </c>
      <c r="T96" s="22"/>
      <c r="U96" s="693"/>
      <c r="V96" s="693"/>
      <c r="W96" s="693"/>
      <c r="X96" s="693"/>
      <c r="Y96" s="20"/>
      <c r="Z96" s="162"/>
      <c r="AA96" s="19"/>
      <c r="AB96" s="701"/>
      <c r="AC96" s="702"/>
      <c r="AD96" s="702"/>
      <c r="AE96" s="703"/>
      <c r="AF96" s="20"/>
      <c r="AH96" s="109">
        <f>IF(S96,1,0)</f>
        <v>0</v>
      </c>
      <c r="AI96" s="116"/>
      <c r="AJ96" s="695"/>
      <c r="AL96" s="494" t="s">
        <v>614</v>
      </c>
      <c r="AM96" s="680" t="s">
        <v>622</v>
      </c>
      <c r="AN96" s="680"/>
      <c r="AO96" s="680" t="s">
        <v>623</v>
      </c>
      <c r="AP96" s="680"/>
    </row>
    <row r="97" spans="2:42">
      <c r="B97" s="19"/>
      <c r="C97" s="668"/>
      <c r="D97" s="669"/>
      <c r="E97" s="669"/>
      <c r="F97" s="670"/>
      <c r="G97" s="20"/>
      <c r="H97" s="162"/>
      <c r="I97" s="19"/>
      <c r="J97" s="719"/>
      <c r="K97" s="720"/>
      <c r="L97" s="720"/>
      <c r="M97" s="720"/>
      <c r="N97" s="52"/>
      <c r="O97" s="690" t="s">
        <v>1027</v>
      </c>
      <c r="P97" s="620"/>
      <c r="Q97" s="620"/>
      <c r="R97" s="690"/>
      <c r="S97" s="46" t="b">
        <v>0</v>
      </c>
      <c r="T97" s="22"/>
      <c r="U97" s="693"/>
      <c r="V97" s="693"/>
      <c r="W97" s="693"/>
      <c r="X97" s="693"/>
      <c r="Y97" s="20"/>
      <c r="Z97" s="162"/>
      <c r="AA97" s="19"/>
      <c r="AB97" s="701"/>
      <c r="AC97" s="702"/>
      <c r="AD97" s="702"/>
      <c r="AE97" s="703"/>
      <c r="AF97" s="20"/>
      <c r="AH97" s="109">
        <f>IF(S97,1,0)</f>
        <v>0</v>
      </c>
      <c r="AI97" s="116"/>
      <c r="AJ97" s="695"/>
      <c r="AL97" s="697">
        <f>IF(ISNUMBER(Company_Information!D16),Company_Information!D16,0)</f>
        <v>0</v>
      </c>
      <c r="AM97" s="681">
        <f>IF(ISNUMBER(Company_Information!E16),Company_Information!E16,2013)</f>
        <v>2013</v>
      </c>
      <c r="AN97" s="681"/>
      <c r="AO97" s="681">
        <f>IF(ISNUMBER(Company_Information!G16),Company_Information!G16,2050)</f>
        <v>2050</v>
      </c>
      <c r="AP97" s="681"/>
    </row>
    <row r="98" spans="2:42">
      <c r="B98" s="19"/>
      <c r="C98" s="668"/>
      <c r="D98" s="669"/>
      <c r="E98" s="669"/>
      <c r="F98" s="670"/>
      <c r="G98" s="20"/>
      <c r="H98" s="162"/>
      <c r="I98" s="19"/>
      <c r="J98" s="719"/>
      <c r="K98" s="720"/>
      <c r="L98" s="720"/>
      <c r="M98" s="720"/>
      <c r="N98" s="52"/>
      <c r="O98" s="690" t="s">
        <v>915</v>
      </c>
      <c r="P98" s="620"/>
      <c r="Q98" s="620"/>
      <c r="R98" s="690"/>
      <c r="S98" s="46" t="b">
        <v>0</v>
      </c>
      <c r="T98" s="22"/>
      <c r="U98" s="693"/>
      <c r="V98" s="693"/>
      <c r="W98" s="693"/>
      <c r="X98" s="693"/>
      <c r="Y98" s="20"/>
      <c r="Z98" s="162"/>
      <c r="AA98" s="19"/>
      <c r="AB98" s="701"/>
      <c r="AC98" s="702"/>
      <c r="AD98" s="702"/>
      <c r="AE98" s="703"/>
      <c r="AF98" s="20"/>
      <c r="AH98" s="109">
        <f>IF(S98,1,0)</f>
        <v>0</v>
      </c>
      <c r="AI98" s="116"/>
      <c r="AJ98" s="695"/>
      <c r="AL98" s="697"/>
      <c r="AM98" s="681"/>
      <c r="AN98" s="681"/>
      <c r="AO98" s="681"/>
      <c r="AP98" s="681"/>
    </row>
    <row r="99" spans="2:42">
      <c r="B99" s="19"/>
      <c r="C99" s="668"/>
      <c r="D99" s="669"/>
      <c r="E99" s="669"/>
      <c r="F99" s="670"/>
      <c r="G99" s="20"/>
      <c r="H99" s="162"/>
      <c r="I99" s="19"/>
      <c r="J99" s="719"/>
      <c r="K99" s="720"/>
      <c r="L99" s="720"/>
      <c r="M99" s="720"/>
      <c r="N99" s="52"/>
      <c r="O99" s="690" t="s">
        <v>916</v>
      </c>
      <c r="P99" s="620"/>
      <c r="Q99" s="620"/>
      <c r="R99" s="690"/>
      <c r="S99" s="46" t="b">
        <v>0</v>
      </c>
      <c r="T99" s="22"/>
      <c r="U99" s="693"/>
      <c r="V99" s="693"/>
      <c r="W99" s="693"/>
      <c r="X99" s="693"/>
      <c r="Y99" s="20"/>
      <c r="Z99" s="162"/>
      <c r="AA99" s="19"/>
      <c r="AB99" s="701"/>
      <c r="AC99" s="702"/>
      <c r="AD99" s="702"/>
      <c r="AE99" s="703"/>
      <c r="AF99" s="20"/>
      <c r="AH99" s="109">
        <f>IF(S99,1,0)</f>
        <v>0</v>
      </c>
      <c r="AI99" s="116"/>
      <c r="AJ99" s="695"/>
    </row>
    <row r="100" spans="2:42" ht="17.399999999999999">
      <c r="B100" s="19"/>
      <c r="C100" s="668"/>
      <c r="D100" s="669"/>
      <c r="E100" s="669"/>
      <c r="F100" s="670"/>
      <c r="G100" s="20"/>
      <c r="H100" s="162"/>
      <c r="I100" s="19"/>
      <c r="J100" s="56"/>
      <c r="K100" s="213"/>
      <c r="L100" s="213"/>
      <c r="M100" s="213"/>
      <c r="N100" s="17"/>
      <c r="O100" s="40"/>
      <c r="P100" s="40"/>
      <c r="Q100" s="40"/>
      <c r="R100" s="17"/>
      <c r="S100" s="25"/>
      <c r="T100" s="17"/>
      <c r="U100" s="17"/>
      <c r="V100" s="17"/>
      <c r="W100" s="17"/>
      <c r="X100" s="17"/>
      <c r="Y100" s="20"/>
      <c r="Z100" s="162"/>
      <c r="AA100" s="19"/>
      <c r="AB100" s="701"/>
      <c r="AC100" s="702"/>
      <c r="AD100" s="702"/>
      <c r="AE100" s="703"/>
      <c r="AF100" s="20"/>
      <c r="AH100" s="109"/>
      <c r="AI100" s="116"/>
      <c r="AJ100" s="695"/>
      <c r="AL100" s="495">
        <f>IF(Company_Information!G9,1,0)</f>
        <v>0</v>
      </c>
      <c r="AM100" s="495">
        <f>IF(AL100,7,IF(AL101,5,IF(AL102,3,IF(AL103,2,IF(AL104,0,0)))))</f>
        <v>0</v>
      </c>
    </row>
    <row r="101" spans="2:42">
      <c r="B101" s="19"/>
      <c r="C101" s="668"/>
      <c r="D101" s="669"/>
      <c r="E101" s="669"/>
      <c r="F101" s="670"/>
      <c r="G101" s="20"/>
      <c r="H101" s="162"/>
      <c r="I101" s="19"/>
      <c r="J101" s="719">
        <v>3.2</v>
      </c>
      <c r="K101" s="720" t="s">
        <v>315</v>
      </c>
      <c r="L101" s="720"/>
      <c r="M101" s="720"/>
      <c r="N101" s="52"/>
      <c r="O101" s="690" t="s">
        <v>174</v>
      </c>
      <c r="P101" s="620"/>
      <c r="Q101" s="620"/>
      <c r="R101" s="690"/>
      <c r="S101" s="46" t="b">
        <v>0</v>
      </c>
      <c r="T101" s="22"/>
      <c r="U101" s="693" t="s">
        <v>60</v>
      </c>
      <c r="V101" s="693"/>
      <c r="W101" s="693"/>
      <c r="X101" s="693"/>
      <c r="Y101" s="20"/>
      <c r="Z101" s="162"/>
      <c r="AA101" s="19"/>
      <c r="AB101" s="701"/>
      <c r="AC101" s="702"/>
      <c r="AD101" s="702"/>
      <c r="AE101" s="703"/>
      <c r="AF101" s="20"/>
      <c r="AH101" s="109">
        <f>IF(S101,1,0)</f>
        <v>0</v>
      </c>
      <c r="AI101" s="110">
        <f>IF(AH101,7,IF(AH102,5,IF(AH103,3,IF(AH104,0,0))))</f>
        <v>0</v>
      </c>
      <c r="AJ101" s="695"/>
      <c r="AL101" s="496">
        <f>IF(Company_Information!G10,1,0)</f>
        <v>0</v>
      </c>
      <c r="AM101" s="496"/>
    </row>
    <row r="102" spans="2:42">
      <c r="B102" s="19"/>
      <c r="C102" s="668"/>
      <c r="D102" s="669"/>
      <c r="E102" s="669"/>
      <c r="F102" s="670"/>
      <c r="G102" s="20"/>
      <c r="H102" s="162"/>
      <c r="I102" s="19"/>
      <c r="J102" s="719"/>
      <c r="K102" s="720"/>
      <c r="L102" s="720"/>
      <c r="M102" s="720"/>
      <c r="N102" s="52"/>
      <c r="O102" s="690" t="s">
        <v>175</v>
      </c>
      <c r="P102" s="620"/>
      <c r="Q102" s="620"/>
      <c r="R102" s="690"/>
      <c r="S102" s="46" t="b">
        <v>0</v>
      </c>
      <c r="T102" s="22"/>
      <c r="U102" s="693"/>
      <c r="V102" s="693"/>
      <c r="W102" s="693"/>
      <c r="X102" s="693"/>
      <c r="Y102" s="20"/>
      <c r="Z102" s="162"/>
      <c r="AA102" s="19"/>
      <c r="AB102" s="701"/>
      <c r="AC102" s="702"/>
      <c r="AD102" s="702"/>
      <c r="AE102" s="703"/>
      <c r="AF102" s="20"/>
      <c r="AH102" s="109">
        <f>IF(S102,1,0)</f>
        <v>0</v>
      </c>
      <c r="AI102" s="116"/>
      <c r="AJ102" s="695"/>
      <c r="AL102" s="496">
        <f>IF(Company_Information!G11,1,0)</f>
        <v>0</v>
      </c>
      <c r="AM102" s="496"/>
    </row>
    <row r="103" spans="2:42">
      <c r="B103" s="19"/>
      <c r="C103" s="668"/>
      <c r="D103" s="669"/>
      <c r="E103" s="669"/>
      <c r="F103" s="670"/>
      <c r="G103" s="20"/>
      <c r="H103" s="162"/>
      <c r="I103" s="19"/>
      <c r="J103" s="719"/>
      <c r="K103" s="720"/>
      <c r="L103" s="720"/>
      <c r="M103" s="720"/>
      <c r="N103" s="52"/>
      <c r="O103" s="690" t="s">
        <v>176</v>
      </c>
      <c r="P103" s="620"/>
      <c r="Q103" s="620"/>
      <c r="R103" s="690"/>
      <c r="S103" s="46" t="b">
        <v>0</v>
      </c>
      <c r="T103" s="22"/>
      <c r="U103" s="693"/>
      <c r="V103" s="693"/>
      <c r="W103" s="693"/>
      <c r="X103" s="693"/>
      <c r="Y103" s="20"/>
      <c r="Z103" s="162"/>
      <c r="AA103" s="19"/>
      <c r="AB103" s="701"/>
      <c r="AC103" s="702"/>
      <c r="AD103" s="702"/>
      <c r="AE103" s="703"/>
      <c r="AF103" s="20"/>
      <c r="AH103" s="109">
        <f>IF(S103,1,0)</f>
        <v>0</v>
      </c>
      <c r="AI103" s="116"/>
      <c r="AJ103" s="695"/>
      <c r="AL103" s="496">
        <f>IF(Company_Information!G12,1,0)</f>
        <v>0</v>
      </c>
      <c r="AM103" s="496"/>
    </row>
    <row r="104" spans="2:42">
      <c r="B104" s="19"/>
      <c r="C104" s="668"/>
      <c r="D104" s="669"/>
      <c r="E104" s="669"/>
      <c r="F104" s="670"/>
      <c r="G104" s="20"/>
      <c r="H104" s="162"/>
      <c r="I104" s="19"/>
      <c r="J104" s="719"/>
      <c r="K104" s="720"/>
      <c r="L104" s="720"/>
      <c r="M104" s="720"/>
      <c r="N104" s="52"/>
      <c r="O104" s="690" t="s">
        <v>177</v>
      </c>
      <c r="P104" s="620"/>
      <c r="Q104" s="620"/>
      <c r="R104" s="690"/>
      <c r="S104" s="46" t="b">
        <v>0</v>
      </c>
      <c r="T104" s="22"/>
      <c r="U104" s="693"/>
      <c r="V104" s="693"/>
      <c r="W104" s="693"/>
      <c r="X104" s="693"/>
      <c r="Y104" s="20"/>
      <c r="Z104" s="162"/>
      <c r="AA104" s="19"/>
      <c r="AB104" s="704"/>
      <c r="AC104" s="705"/>
      <c r="AD104" s="705"/>
      <c r="AE104" s="706"/>
      <c r="AF104" s="20"/>
      <c r="AH104" s="109">
        <f>IF(S104,1,0)</f>
        <v>0</v>
      </c>
      <c r="AI104" s="116"/>
      <c r="AJ104" s="695"/>
      <c r="AL104" s="497">
        <f>IF(Company_Information!G13,1,0)</f>
        <v>0</v>
      </c>
      <c r="AM104" s="180"/>
    </row>
    <row r="105" spans="2:42" ht="17.399999999999999">
      <c r="B105" s="19"/>
      <c r="C105" s="668"/>
      <c r="D105" s="669"/>
      <c r="E105" s="669"/>
      <c r="F105" s="670"/>
      <c r="G105" s="20"/>
      <c r="H105" s="162"/>
      <c r="I105" s="19"/>
      <c r="J105" s="56"/>
      <c r="K105" s="213"/>
      <c r="L105" s="213"/>
      <c r="M105" s="213"/>
      <c r="N105" s="17"/>
      <c r="O105" s="40"/>
      <c r="P105" s="40"/>
      <c r="Q105" s="40"/>
      <c r="R105" s="17"/>
      <c r="S105" s="25"/>
      <c r="T105" s="17"/>
      <c r="U105" s="17"/>
      <c r="V105" s="17"/>
      <c r="W105" s="17"/>
      <c r="X105" s="17"/>
      <c r="Y105" s="20"/>
      <c r="Z105" s="162"/>
      <c r="AA105" s="19"/>
      <c r="AB105" s="45"/>
      <c r="AC105" s="45"/>
      <c r="AD105" s="45"/>
      <c r="AE105" s="45"/>
      <c r="AF105" s="20"/>
      <c r="AH105" s="109"/>
      <c r="AI105" s="116"/>
      <c r="AJ105" s="695"/>
      <c r="AL105" s="114"/>
    </row>
    <row r="106" spans="2:42" ht="31.95" customHeight="1">
      <c r="B106" s="19"/>
      <c r="C106" s="668"/>
      <c r="D106" s="669"/>
      <c r="E106" s="669"/>
      <c r="F106" s="670"/>
      <c r="G106" s="20"/>
      <c r="H106" s="162"/>
      <c r="I106" s="19"/>
      <c r="J106" s="719">
        <v>3.3</v>
      </c>
      <c r="K106" s="720" t="s">
        <v>1170</v>
      </c>
      <c r="L106" s="720"/>
      <c r="M106" s="720"/>
      <c r="N106" s="52"/>
      <c r="O106" s="665"/>
      <c r="P106" s="666"/>
      <c r="Q106" s="666"/>
      <c r="R106" s="666"/>
      <c r="S106" s="666"/>
      <c r="T106" s="666"/>
      <c r="U106" s="666"/>
      <c r="V106" s="666"/>
      <c r="W106" s="666"/>
      <c r="X106" s="667"/>
      <c r="Y106" s="20"/>
      <c r="Z106" s="162"/>
      <c r="AA106" s="19"/>
      <c r="AB106" s="690"/>
      <c r="AC106" s="690"/>
      <c r="AD106" s="690"/>
      <c r="AE106" s="690"/>
      <c r="AF106" s="20"/>
      <c r="AH106" s="109">
        <f>IF(ISTEXT(O106),1,0)</f>
        <v>0</v>
      </c>
      <c r="AI106" s="110"/>
      <c r="AJ106" s="695"/>
      <c r="AL106" s="495">
        <f>IF(ISNUMBER(AL97),1,0)</f>
        <v>1</v>
      </c>
    </row>
    <row r="107" spans="2:42" ht="31.95" customHeight="1">
      <c r="B107" s="19"/>
      <c r="C107" s="668"/>
      <c r="D107" s="669"/>
      <c r="E107" s="669"/>
      <c r="F107" s="670"/>
      <c r="G107" s="20"/>
      <c r="H107" s="162"/>
      <c r="I107" s="19"/>
      <c r="J107" s="719"/>
      <c r="K107" s="720"/>
      <c r="L107" s="720"/>
      <c r="M107" s="720"/>
      <c r="N107" s="52"/>
      <c r="O107" s="668"/>
      <c r="P107" s="669"/>
      <c r="Q107" s="669"/>
      <c r="R107" s="669"/>
      <c r="S107" s="669"/>
      <c r="T107" s="669"/>
      <c r="U107" s="669"/>
      <c r="V107" s="669"/>
      <c r="W107" s="669"/>
      <c r="X107" s="670"/>
      <c r="Y107" s="20"/>
      <c r="Z107" s="162"/>
      <c r="AA107" s="19"/>
      <c r="AB107" s="690"/>
      <c r="AC107" s="690"/>
      <c r="AD107" s="690"/>
      <c r="AE107" s="690"/>
      <c r="AF107" s="20"/>
      <c r="AH107" s="109"/>
      <c r="AI107" s="116"/>
      <c r="AJ107" s="695"/>
      <c r="AL107" s="496">
        <f>IF(ISNUMBER(AM97),1,0)</f>
        <v>1</v>
      </c>
    </row>
    <row r="108" spans="2:42">
      <c r="B108" s="19"/>
      <c r="C108" s="668"/>
      <c r="D108" s="669"/>
      <c r="E108" s="669"/>
      <c r="F108" s="670"/>
      <c r="G108" s="20"/>
      <c r="H108" s="162"/>
      <c r="I108" s="19"/>
      <c r="J108" s="719"/>
      <c r="K108" s="720"/>
      <c r="L108" s="720"/>
      <c r="M108" s="720"/>
      <c r="N108" s="52"/>
      <c r="O108" s="668"/>
      <c r="P108" s="669"/>
      <c r="Q108" s="669"/>
      <c r="R108" s="669"/>
      <c r="S108" s="669"/>
      <c r="T108" s="669"/>
      <c r="U108" s="669"/>
      <c r="V108" s="669"/>
      <c r="W108" s="669"/>
      <c r="X108" s="670"/>
      <c r="Y108" s="20"/>
      <c r="Z108" s="162"/>
      <c r="AA108" s="19"/>
      <c r="AB108" s="690"/>
      <c r="AC108" s="690"/>
      <c r="AD108" s="690"/>
      <c r="AE108" s="690"/>
      <c r="AF108" s="20"/>
      <c r="AH108" s="109"/>
      <c r="AI108" s="116"/>
      <c r="AJ108" s="695"/>
      <c r="AL108" s="496">
        <f>IF(ISNUMBER(AL97),1,0)</f>
        <v>1</v>
      </c>
    </row>
    <row r="109" spans="2:42">
      <c r="B109" s="19"/>
      <c r="C109" s="671"/>
      <c r="D109" s="672"/>
      <c r="E109" s="672"/>
      <c r="F109" s="673"/>
      <c r="G109" s="20"/>
      <c r="H109" s="162"/>
      <c r="I109" s="19"/>
      <c r="J109" s="719"/>
      <c r="K109" s="720"/>
      <c r="L109" s="720"/>
      <c r="M109" s="720"/>
      <c r="N109" s="52"/>
      <c r="O109" s="671"/>
      <c r="P109" s="672"/>
      <c r="Q109" s="672"/>
      <c r="R109" s="672"/>
      <c r="S109" s="672"/>
      <c r="T109" s="672"/>
      <c r="U109" s="672"/>
      <c r="V109" s="672"/>
      <c r="W109" s="672"/>
      <c r="X109" s="673"/>
      <c r="Y109" s="20"/>
      <c r="Z109" s="162"/>
      <c r="AA109" s="19"/>
      <c r="AB109" s="690"/>
      <c r="AC109" s="690"/>
      <c r="AD109" s="690"/>
      <c r="AE109" s="690"/>
      <c r="AF109" s="20"/>
      <c r="AH109" s="112"/>
      <c r="AI109" s="107"/>
      <c r="AJ109" s="696"/>
      <c r="AL109" s="180"/>
    </row>
    <row r="110" spans="2:42" ht="15.45" customHeight="1" thickBot="1">
      <c r="B110" s="19"/>
      <c r="C110" s="45"/>
      <c r="D110" s="45"/>
      <c r="E110" s="45"/>
      <c r="F110" s="45"/>
      <c r="G110" s="20"/>
      <c r="H110" s="162"/>
      <c r="I110" s="19"/>
      <c r="J110" s="56"/>
      <c r="K110" s="208"/>
      <c r="L110" s="208"/>
      <c r="M110" s="208"/>
      <c r="N110" s="17"/>
      <c r="O110" s="40"/>
      <c r="P110" s="40"/>
      <c r="Q110" s="40"/>
      <c r="R110" s="17"/>
      <c r="S110" s="25"/>
      <c r="T110" s="17"/>
      <c r="U110" s="17"/>
      <c r="V110" s="17"/>
      <c r="W110" s="17"/>
      <c r="X110" s="17"/>
      <c r="Y110" s="20"/>
      <c r="Z110" s="162"/>
      <c r="AA110" s="19"/>
      <c r="AB110" s="45"/>
      <c r="AC110" s="45"/>
      <c r="AD110" s="45"/>
      <c r="AE110" s="45"/>
      <c r="AF110" s="20"/>
      <c r="AH110" s="121">
        <f>SUM(AH95:AH109,AL100:AL104)</f>
        <v>0</v>
      </c>
      <c r="AI110" s="121">
        <f>SUM(AI95:AI109,AM100)</f>
        <v>0</v>
      </c>
      <c r="AJ110" s="121"/>
    </row>
    <row r="111" spans="2:42" ht="15" customHeight="1" thickTop="1">
      <c r="B111" s="19"/>
      <c r="C111" s="33"/>
      <c r="D111" s="33"/>
      <c r="E111" s="33"/>
      <c r="F111" s="33"/>
      <c r="G111" s="20"/>
      <c r="H111" s="162"/>
      <c r="I111" s="19"/>
      <c r="J111" s="28" t="s">
        <v>30</v>
      </c>
      <c r="K111" s="209" t="s">
        <v>637</v>
      </c>
      <c r="L111" s="208"/>
      <c r="M111" s="208"/>
      <c r="N111" s="17"/>
      <c r="O111" s="40"/>
      <c r="P111" s="40"/>
      <c r="Q111" s="40"/>
      <c r="R111" s="17"/>
      <c r="S111" s="25"/>
      <c r="T111" s="17"/>
      <c r="U111" s="50"/>
      <c r="V111" s="50"/>
      <c r="W111" s="50"/>
      <c r="X111" s="50"/>
      <c r="Y111" s="20"/>
      <c r="Z111" s="162"/>
      <c r="AA111" s="19"/>
      <c r="AB111" s="45"/>
      <c r="AC111" s="45"/>
      <c r="AD111" s="45"/>
      <c r="AE111" s="45"/>
      <c r="AF111" s="20"/>
    </row>
    <row r="112" spans="2:42" ht="15" customHeight="1">
      <c r="B112" s="19"/>
      <c r="C112" s="33"/>
      <c r="D112" s="33"/>
      <c r="E112" s="33"/>
      <c r="F112" s="33"/>
      <c r="G112" s="20"/>
      <c r="H112" s="162"/>
      <c r="I112" s="19"/>
      <c r="J112" s="56"/>
      <c r="K112" s="208"/>
      <c r="L112" s="208"/>
      <c r="M112" s="208"/>
      <c r="N112" s="17"/>
      <c r="O112" s="40"/>
      <c r="P112" s="40"/>
      <c r="Q112" s="40"/>
      <c r="R112" s="17"/>
      <c r="S112" s="25"/>
      <c r="T112" s="17"/>
      <c r="U112" s="50"/>
      <c r="V112" s="50"/>
      <c r="W112" s="50"/>
      <c r="X112" s="50"/>
      <c r="Y112" s="20"/>
      <c r="Z112" s="162"/>
      <c r="AA112" s="19"/>
      <c r="AB112" s="45"/>
      <c r="AC112" s="45"/>
      <c r="AD112" s="45"/>
      <c r="AE112" s="45"/>
      <c r="AF112" s="20"/>
    </row>
    <row r="113" spans="2:36" ht="50.55" customHeight="1">
      <c r="B113" s="27"/>
      <c r="C113" s="665" t="s">
        <v>1113</v>
      </c>
      <c r="D113" s="666"/>
      <c r="E113" s="666"/>
      <c r="F113" s="667"/>
      <c r="G113" s="23"/>
      <c r="H113" s="163"/>
      <c r="I113" s="19"/>
      <c r="J113" s="742">
        <v>4.0999999999999996</v>
      </c>
      <c r="K113" s="743" t="s">
        <v>197</v>
      </c>
      <c r="L113" s="744"/>
      <c r="M113" s="745"/>
      <c r="N113" s="22"/>
      <c r="O113" s="579" t="s">
        <v>364</v>
      </c>
      <c r="P113" s="580"/>
      <c r="Q113" s="580"/>
      <c r="R113" s="581"/>
      <c r="S113" s="46" t="b">
        <v>0</v>
      </c>
      <c r="T113" s="22"/>
      <c r="U113" s="758" t="s">
        <v>60</v>
      </c>
      <c r="V113" s="759"/>
      <c r="W113" s="759"/>
      <c r="X113" s="760"/>
      <c r="Y113" s="23"/>
      <c r="Z113" s="163"/>
      <c r="AA113" s="27"/>
      <c r="AB113" s="707" t="str">
        <f>IF(AH117,Feedback_List!B15,IF(Milestone_1!AH116,Feedback_List!C15,IF(Milestone_1!AH115,Feedback_List!C15,IF(AH114,Feedback_List!C15," "))))</f>
        <v xml:space="preserve"> </v>
      </c>
      <c r="AC113" s="708"/>
      <c r="AD113" s="708"/>
      <c r="AE113" s="709"/>
      <c r="AF113" s="23"/>
      <c r="AG113" s="96"/>
      <c r="AH113" s="177">
        <f>IF(S113,1,0)</f>
        <v>0</v>
      </c>
      <c r="AI113" s="192">
        <f>IF(AH113=1, 5, IF(AH114=1, 3, IF(AH115=1, 2, IF(AH116=1, 1, IF(AH117,0,0)))))</f>
        <v>0</v>
      </c>
      <c r="AJ113" s="694">
        <f>SUM(AI113:AI128) * AO12</f>
        <v>0</v>
      </c>
    </row>
    <row r="114" spans="2:36" ht="38.549999999999997" customHeight="1">
      <c r="B114" s="27"/>
      <c r="C114" s="668"/>
      <c r="D114" s="669"/>
      <c r="E114" s="669"/>
      <c r="F114" s="670"/>
      <c r="G114" s="23"/>
      <c r="H114" s="163"/>
      <c r="I114" s="19"/>
      <c r="J114" s="663"/>
      <c r="K114" s="713"/>
      <c r="L114" s="714"/>
      <c r="M114" s="715"/>
      <c r="N114" s="22"/>
      <c r="O114" s="579" t="s">
        <v>32</v>
      </c>
      <c r="P114" s="580"/>
      <c r="Q114" s="580"/>
      <c r="R114" s="581"/>
      <c r="S114" s="46" t="b">
        <v>0</v>
      </c>
      <c r="T114" s="22"/>
      <c r="U114" s="668"/>
      <c r="V114" s="669"/>
      <c r="W114" s="669"/>
      <c r="X114" s="670"/>
      <c r="Y114" s="23"/>
      <c r="Z114" s="163"/>
      <c r="AA114" s="27"/>
      <c r="AB114" s="701"/>
      <c r="AC114" s="702"/>
      <c r="AD114" s="702"/>
      <c r="AE114" s="703"/>
      <c r="AF114" s="23"/>
      <c r="AG114" s="96"/>
      <c r="AH114" s="117">
        <f>IF(S114,1,0)</f>
        <v>0</v>
      </c>
      <c r="AI114" s="110"/>
      <c r="AJ114" s="695"/>
    </row>
    <row r="115" spans="2:36" ht="38.549999999999997" customHeight="1">
      <c r="B115" s="27"/>
      <c r="C115" s="668"/>
      <c r="D115" s="669"/>
      <c r="E115" s="669"/>
      <c r="F115" s="670"/>
      <c r="G115" s="23"/>
      <c r="H115" s="163"/>
      <c r="I115" s="19"/>
      <c r="J115" s="663"/>
      <c r="K115" s="713"/>
      <c r="L115" s="714"/>
      <c r="M115" s="715"/>
      <c r="N115" s="22"/>
      <c r="O115" s="579" t="s">
        <v>31</v>
      </c>
      <c r="P115" s="580"/>
      <c r="Q115" s="580"/>
      <c r="R115" s="581"/>
      <c r="S115" s="46" t="b">
        <v>0</v>
      </c>
      <c r="T115" s="22"/>
      <c r="U115" s="668"/>
      <c r="V115" s="669"/>
      <c r="W115" s="669"/>
      <c r="X115" s="670"/>
      <c r="Y115" s="23"/>
      <c r="Z115" s="163"/>
      <c r="AA115" s="27"/>
      <c r="AB115" s="701"/>
      <c r="AC115" s="702"/>
      <c r="AD115" s="702"/>
      <c r="AE115" s="703"/>
      <c r="AF115" s="23"/>
      <c r="AG115" s="96"/>
      <c r="AH115" s="117">
        <f>IF(S115,1,0)</f>
        <v>0</v>
      </c>
      <c r="AI115" s="110"/>
      <c r="AJ115" s="695"/>
    </row>
    <row r="116" spans="2:36" ht="38.549999999999997" customHeight="1">
      <c r="B116" s="27"/>
      <c r="C116" s="668"/>
      <c r="D116" s="669"/>
      <c r="E116" s="669"/>
      <c r="F116" s="670"/>
      <c r="G116" s="23"/>
      <c r="H116" s="163"/>
      <c r="I116" s="19"/>
      <c r="J116" s="663"/>
      <c r="K116" s="713"/>
      <c r="L116" s="714"/>
      <c r="M116" s="715"/>
      <c r="N116" s="22"/>
      <c r="O116" s="579" t="s">
        <v>1034</v>
      </c>
      <c r="P116" s="580"/>
      <c r="Q116" s="580"/>
      <c r="R116" s="581"/>
      <c r="S116" s="46" t="b">
        <v>0</v>
      </c>
      <c r="T116" s="22"/>
      <c r="U116" s="668"/>
      <c r="V116" s="669"/>
      <c r="W116" s="669"/>
      <c r="X116" s="670"/>
      <c r="Y116" s="23"/>
      <c r="Z116" s="163"/>
      <c r="AA116" s="27"/>
      <c r="AB116" s="701"/>
      <c r="AC116" s="702"/>
      <c r="AD116" s="702"/>
      <c r="AE116" s="703"/>
      <c r="AF116" s="23"/>
      <c r="AG116" s="96"/>
      <c r="AH116" s="117">
        <f>IF(S116,1,0)</f>
        <v>0</v>
      </c>
      <c r="AI116" s="110"/>
      <c r="AJ116" s="695"/>
    </row>
    <row r="117" spans="2:36" ht="38.549999999999997" customHeight="1">
      <c r="B117" s="27"/>
      <c r="C117" s="668"/>
      <c r="D117" s="669"/>
      <c r="E117" s="669"/>
      <c r="F117" s="670"/>
      <c r="G117" s="23"/>
      <c r="H117" s="163"/>
      <c r="I117" s="19"/>
      <c r="J117" s="664"/>
      <c r="K117" s="716"/>
      <c r="L117" s="717"/>
      <c r="M117" s="718"/>
      <c r="N117" s="22"/>
      <c r="O117" s="579" t="s">
        <v>178</v>
      </c>
      <c r="P117" s="580"/>
      <c r="Q117" s="580"/>
      <c r="R117" s="581"/>
      <c r="S117" s="46" t="b">
        <v>0</v>
      </c>
      <c r="T117" s="22"/>
      <c r="U117" s="671"/>
      <c r="V117" s="672"/>
      <c r="W117" s="672"/>
      <c r="X117" s="673"/>
      <c r="Y117" s="23"/>
      <c r="Z117" s="163"/>
      <c r="AA117" s="27"/>
      <c r="AB117" s="704"/>
      <c r="AC117" s="705"/>
      <c r="AD117" s="705"/>
      <c r="AE117" s="706"/>
      <c r="AF117" s="23"/>
      <c r="AG117" s="96"/>
      <c r="AH117" s="117">
        <f>IF(S117,1,0)</f>
        <v>0</v>
      </c>
      <c r="AI117" s="110"/>
      <c r="AJ117" s="695"/>
    </row>
    <row r="118" spans="2:36" ht="15" customHeight="1">
      <c r="B118" s="19"/>
      <c r="C118" s="668"/>
      <c r="D118" s="669"/>
      <c r="E118" s="669"/>
      <c r="F118" s="670"/>
      <c r="G118" s="20"/>
      <c r="H118" s="162"/>
      <c r="I118" s="19"/>
      <c r="J118" s="56"/>
      <c r="K118" s="213"/>
      <c r="L118" s="213"/>
      <c r="M118" s="213"/>
      <c r="N118" s="17"/>
      <c r="O118" s="40"/>
      <c r="P118" s="40"/>
      <c r="Q118" s="40"/>
      <c r="R118" s="17"/>
      <c r="S118" s="25"/>
      <c r="T118" s="17"/>
      <c r="U118" s="50"/>
      <c r="V118" s="50"/>
      <c r="W118" s="50"/>
      <c r="X118" s="50"/>
      <c r="Y118" s="20"/>
      <c r="Z118" s="162"/>
      <c r="AA118" s="19"/>
      <c r="AB118" s="45"/>
      <c r="AC118" s="45"/>
      <c r="AD118" s="45"/>
      <c r="AE118" s="45"/>
      <c r="AF118" s="20"/>
      <c r="AH118" s="117"/>
      <c r="AI118" s="116"/>
      <c r="AJ118" s="695"/>
    </row>
    <row r="119" spans="2:36" ht="15.45" customHeight="1">
      <c r="B119" s="27"/>
      <c r="C119" s="668"/>
      <c r="D119" s="669"/>
      <c r="E119" s="669"/>
      <c r="F119" s="670"/>
      <c r="G119" s="23"/>
      <c r="H119" s="163"/>
      <c r="I119" s="19"/>
      <c r="J119" s="662">
        <v>4.2</v>
      </c>
      <c r="K119" s="710" t="s">
        <v>1035</v>
      </c>
      <c r="L119" s="711"/>
      <c r="M119" s="712"/>
      <c r="N119" s="24"/>
      <c r="O119" s="721" t="s">
        <v>33</v>
      </c>
      <c r="P119" s="722"/>
      <c r="Q119" s="722"/>
      <c r="R119" s="723"/>
      <c r="S119" s="46" t="b">
        <v>0</v>
      </c>
      <c r="T119" s="22"/>
      <c r="U119" s="665" t="s">
        <v>60</v>
      </c>
      <c r="V119" s="666"/>
      <c r="W119" s="666"/>
      <c r="X119" s="667"/>
      <c r="Y119" s="23"/>
      <c r="Z119" s="163"/>
      <c r="AA119" s="27"/>
      <c r="AB119" s="698" t="str">
        <f>IF(S129,Feedback_List!B16," ")</f>
        <v xml:space="preserve"> </v>
      </c>
      <c r="AC119" s="699"/>
      <c r="AD119" s="699"/>
      <c r="AE119" s="700"/>
      <c r="AF119" s="23"/>
      <c r="AG119" s="96"/>
      <c r="AH119" s="109">
        <f>IF(S119,1,0)</f>
        <v>0</v>
      </c>
      <c r="AI119" s="110">
        <f t="shared" ref="AI119:AI128" si="12">IF(AH119=1,1,0)</f>
        <v>0</v>
      </c>
      <c r="AJ119" s="695"/>
    </row>
    <row r="120" spans="2:36" ht="15.45" customHeight="1">
      <c r="B120" s="27"/>
      <c r="C120" s="668"/>
      <c r="D120" s="669"/>
      <c r="E120" s="669"/>
      <c r="F120" s="670"/>
      <c r="G120" s="23"/>
      <c r="H120" s="163"/>
      <c r="I120" s="19"/>
      <c r="J120" s="663"/>
      <c r="K120" s="713"/>
      <c r="L120" s="714"/>
      <c r="M120" s="715"/>
      <c r="N120" s="24"/>
      <c r="O120" s="721" t="s">
        <v>1036</v>
      </c>
      <c r="P120" s="722"/>
      <c r="Q120" s="722"/>
      <c r="R120" s="723"/>
      <c r="S120" s="46" t="b">
        <v>0</v>
      </c>
      <c r="T120" s="22"/>
      <c r="U120" s="668"/>
      <c r="V120" s="669"/>
      <c r="W120" s="669"/>
      <c r="X120" s="670"/>
      <c r="Y120" s="23"/>
      <c r="Z120" s="163"/>
      <c r="AA120" s="27"/>
      <c r="AB120" s="701"/>
      <c r="AC120" s="702"/>
      <c r="AD120" s="702"/>
      <c r="AE120" s="703"/>
      <c r="AF120" s="23"/>
      <c r="AG120" s="96"/>
      <c r="AH120" s="109">
        <f>IF(S120,1,0)</f>
        <v>0</v>
      </c>
      <c r="AI120" s="110">
        <f t="shared" si="12"/>
        <v>0</v>
      </c>
      <c r="AJ120" s="695"/>
    </row>
    <row r="121" spans="2:36" ht="15.45" customHeight="1">
      <c r="B121" s="27"/>
      <c r="C121" s="668"/>
      <c r="D121" s="669"/>
      <c r="E121" s="669"/>
      <c r="F121" s="670"/>
      <c r="G121" s="23"/>
      <c r="H121" s="163"/>
      <c r="I121" s="19"/>
      <c r="J121" s="663"/>
      <c r="K121" s="713"/>
      <c r="L121" s="714"/>
      <c r="M121" s="715"/>
      <c r="N121" s="24"/>
      <c r="O121" s="721" t="s">
        <v>34</v>
      </c>
      <c r="P121" s="722"/>
      <c r="Q121" s="722"/>
      <c r="R121" s="723"/>
      <c r="S121" s="46" t="b">
        <v>0</v>
      </c>
      <c r="T121" s="22"/>
      <c r="U121" s="668"/>
      <c r="V121" s="669"/>
      <c r="W121" s="669"/>
      <c r="X121" s="670"/>
      <c r="Y121" s="23"/>
      <c r="Z121" s="163"/>
      <c r="AA121" s="27"/>
      <c r="AB121" s="701"/>
      <c r="AC121" s="702"/>
      <c r="AD121" s="702"/>
      <c r="AE121" s="703"/>
      <c r="AF121" s="23"/>
      <c r="AG121" s="96"/>
      <c r="AH121" s="109">
        <f t="shared" ref="AH121:AH128" si="13">IF(S121,1,0)</f>
        <v>0</v>
      </c>
      <c r="AI121" s="110">
        <f t="shared" si="12"/>
        <v>0</v>
      </c>
      <c r="AJ121" s="695"/>
    </row>
    <row r="122" spans="2:36" ht="15.45" customHeight="1">
      <c r="B122" s="19"/>
      <c r="C122" s="668"/>
      <c r="D122" s="669"/>
      <c r="E122" s="669"/>
      <c r="F122" s="670"/>
      <c r="G122" s="20"/>
      <c r="H122" s="162"/>
      <c r="I122" s="19"/>
      <c r="J122" s="663"/>
      <c r="K122" s="713"/>
      <c r="L122" s="714"/>
      <c r="M122" s="715"/>
      <c r="N122" s="24"/>
      <c r="O122" s="691" t="s">
        <v>35</v>
      </c>
      <c r="P122" s="638"/>
      <c r="Q122" s="638"/>
      <c r="R122" s="692"/>
      <c r="S122" s="44" t="b">
        <v>0</v>
      </c>
      <c r="T122" s="17"/>
      <c r="U122" s="668"/>
      <c r="V122" s="669"/>
      <c r="W122" s="669"/>
      <c r="X122" s="670"/>
      <c r="Y122" s="20"/>
      <c r="Z122" s="162"/>
      <c r="AA122" s="19"/>
      <c r="AB122" s="701"/>
      <c r="AC122" s="702"/>
      <c r="AD122" s="702"/>
      <c r="AE122" s="703"/>
      <c r="AF122" s="20"/>
      <c r="AH122" s="109">
        <f t="shared" si="13"/>
        <v>0</v>
      </c>
      <c r="AI122" s="110">
        <f t="shared" si="12"/>
        <v>0</v>
      </c>
      <c r="AJ122" s="695"/>
    </row>
    <row r="123" spans="2:36" ht="15.45" customHeight="1">
      <c r="B123" s="19"/>
      <c r="C123" s="668"/>
      <c r="D123" s="669"/>
      <c r="E123" s="669"/>
      <c r="F123" s="670"/>
      <c r="G123" s="20"/>
      <c r="H123" s="162"/>
      <c r="I123" s="19"/>
      <c r="J123" s="663"/>
      <c r="K123" s="713"/>
      <c r="L123" s="714"/>
      <c r="M123" s="715"/>
      <c r="N123" s="24"/>
      <c r="O123" s="691" t="s">
        <v>36</v>
      </c>
      <c r="P123" s="638"/>
      <c r="Q123" s="638"/>
      <c r="R123" s="692"/>
      <c r="S123" s="44" t="b">
        <v>0</v>
      </c>
      <c r="T123" s="17"/>
      <c r="U123" s="668"/>
      <c r="V123" s="669"/>
      <c r="W123" s="669"/>
      <c r="X123" s="670"/>
      <c r="Y123" s="20"/>
      <c r="Z123" s="162"/>
      <c r="AA123" s="19"/>
      <c r="AB123" s="701"/>
      <c r="AC123" s="702"/>
      <c r="AD123" s="702"/>
      <c r="AE123" s="703"/>
      <c r="AF123" s="20"/>
      <c r="AH123" s="109">
        <f t="shared" si="13"/>
        <v>0</v>
      </c>
      <c r="AI123" s="110">
        <f t="shared" si="12"/>
        <v>0</v>
      </c>
      <c r="AJ123" s="695"/>
    </row>
    <row r="124" spans="2:36" ht="15.45" customHeight="1">
      <c r="B124" s="19"/>
      <c r="C124" s="668"/>
      <c r="D124" s="669"/>
      <c r="E124" s="669"/>
      <c r="F124" s="670"/>
      <c r="G124" s="20"/>
      <c r="H124" s="162"/>
      <c r="I124" s="19"/>
      <c r="J124" s="663"/>
      <c r="K124" s="713"/>
      <c r="L124" s="714"/>
      <c r="M124" s="715"/>
      <c r="N124" s="24"/>
      <c r="O124" s="691" t="s">
        <v>37</v>
      </c>
      <c r="P124" s="638"/>
      <c r="Q124" s="638"/>
      <c r="R124" s="692"/>
      <c r="S124" s="44" t="b">
        <v>0</v>
      </c>
      <c r="T124" s="17"/>
      <c r="U124" s="668"/>
      <c r="V124" s="669"/>
      <c r="W124" s="669"/>
      <c r="X124" s="670"/>
      <c r="Y124" s="20"/>
      <c r="Z124" s="162"/>
      <c r="AA124" s="19"/>
      <c r="AB124" s="701"/>
      <c r="AC124" s="702"/>
      <c r="AD124" s="702"/>
      <c r="AE124" s="703"/>
      <c r="AF124" s="20"/>
      <c r="AH124" s="109">
        <f t="shared" si="13"/>
        <v>0</v>
      </c>
      <c r="AI124" s="110">
        <f t="shared" si="12"/>
        <v>0</v>
      </c>
      <c r="AJ124" s="695"/>
    </row>
    <row r="125" spans="2:36" ht="15.45" customHeight="1">
      <c r="B125" s="19"/>
      <c r="C125" s="668"/>
      <c r="D125" s="669"/>
      <c r="E125" s="669"/>
      <c r="F125" s="670"/>
      <c r="G125" s="20"/>
      <c r="H125" s="162"/>
      <c r="I125" s="19"/>
      <c r="J125" s="663"/>
      <c r="K125" s="713"/>
      <c r="L125" s="714"/>
      <c r="M125" s="715"/>
      <c r="N125" s="24"/>
      <c r="O125" s="691" t="s">
        <v>38</v>
      </c>
      <c r="P125" s="638"/>
      <c r="Q125" s="638"/>
      <c r="R125" s="692"/>
      <c r="S125" s="44" t="b">
        <v>0</v>
      </c>
      <c r="T125" s="17"/>
      <c r="U125" s="668"/>
      <c r="V125" s="669"/>
      <c r="W125" s="669"/>
      <c r="X125" s="670"/>
      <c r="Y125" s="20"/>
      <c r="Z125" s="162"/>
      <c r="AA125" s="19"/>
      <c r="AB125" s="701"/>
      <c r="AC125" s="702"/>
      <c r="AD125" s="702"/>
      <c r="AE125" s="703"/>
      <c r="AF125" s="20"/>
      <c r="AH125" s="109">
        <f t="shared" si="13"/>
        <v>0</v>
      </c>
      <c r="AI125" s="110">
        <f t="shared" si="12"/>
        <v>0</v>
      </c>
      <c r="AJ125" s="695"/>
    </row>
    <row r="126" spans="2:36" ht="15.45" customHeight="1">
      <c r="B126" s="19"/>
      <c r="C126" s="668"/>
      <c r="D126" s="669"/>
      <c r="E126" s="669"/>
      <c r="F126" s="670"/>
      <c r="G126" s="20"/>
      <c r="H126" s="162"/>
      <c r="I126" s="19"/>
      <c r="J126" s="663"/>
      <c r="K126" s="713"/>
      <c r="L126" s="714"/>
      <c r="M126" s="715"/>
      <c r="N126" s="24"/>
      <c r="O126" s="691" t="s">
        <v>39</v>
      </c>
      <c r="P126" s="638"/>
      <c r="Q126" s="638"/>
      <c r="R126" s="692"/>
      <c r="S126" s="44" t="b">
        <v>0</v>
      </c>
      <c r="T126" s="17"/>
      <c r="U126" s="668"/>
      <c r="V126" s="669"/>
      <c r="W126" s="669"/>
      <c r="X126" s="670"/>
      <c r="Y126" s="20"/>
      <c r="Z126" s="162"/>
      <c r="AA126" s="19"/>
      <c r="AB126" s="701"/>
      <c r="AC126" s="702"/>
      <c r="AD126" s="702"/>
      <c r="AE126" s="703"/>
      <c r="AF126" s="20"/>
      <c r="AH126" s="109">
        <f t="shared" si="13"/>
        <v>0</v>
      </c>
      <c r="AI126" s="110">
        <f t="shared" si="12"/>
        <v>0</v>
      </c>
      <c r="AJ126" s="695"/>
    </row>
    <row r="127" spans="2:36" ht="15.45" customHeight="1">
      <c r="B127" s="19"/>
      <c r="C127" s="668"/>
      <c r="D127" s="669"/>
      <c r="E127" s="669"/>
      <c r="F127" s="670"/>
      <c r="G127" s="20"/>
      <c r="H127" s="162"/>
      <c r="I127" s="19"/>
      <c r="J127" s="663"/>
      <c r="K127" s="713"/>
      <c r="L127" s="714"/>
      <c r="M127" s="715"/>
      <c r="N127" s="24"/>
      <c r="O127" s="691" t="s">
        <v>40</v>
      </c>
      <c r="P127" s="638"/>
      <c r="Q127" s="638"/>
      <c r="R127" s="692"/>
      <c r="S127" s="44" t="b">
        <v>0</v>
      </c>
      <c r="T127" s="17"/>
      <c r="U127" s="668"/>
      <c r="V127" s="669"/>
      <c r="W127" s="669"/>
      <c r="X127" s="670"/>
      <c r="Y127" s="20"/>
      <c r="Z127" s="162"/>
      <c r="AA127" s="19"/>
      <c r="AB127" s="701"/>
      <c r="AC127" s="702"/>
      <c r="AD127" s="702"/>
      <c r="AE127" s="703"/>
      <c r="AF127" s="20"/>
      <c r="AH127" s="109">
        <f t="shared" si="13"/>
        <v>0</v>
      </c>
      <c r="AI127" s="110">
        <f t="shared" si="12"/>
        <v>0</v>
      </c>
      <c r="AJ127" s="695"/>
    </row>
    <row r="128" spans="2:36" ht="15.45" customHeight="1">
      <c r="B128" s="19"/>
      <c r="C128" s="668"/>
      <c r="D128" s="669"/>
      <c r="E128" s="669"/>
      <c r="F128" s="670"/>
      <c r="G128" s="20"/>
      <c r="H128" s="162"/>
      <c r="I128" s="19"/>
      <c r="J128" s="663"/>
      <c r="K128" s="713"/>
      <c r="L128" s="714"/>
      <c r="M128" s="715"/>
      <c r="N128" s="24"/>
      <c r="O128" s="691" t="s">
        <v>41</v>
      </c>
      <c r="P128" s="638"/>
      <c r="Q128" s="638"/>
      <c r="R128" s="692"/>
      <c r="S128" s="44" t="b">
        <v>0</v>
      </c>
      <c r="T128" s="17"/>
      <c r="U128" s="668"/>
      <c r="V128" s="669"/>
      <c r="W128" s="669"/>
      <c r="X128" s="670"/>
      <c r="Y128" s="20"/>
      <c r="Z128" s="162"/>
      <c r="AA128" s="19"/>
      <c r="AB128" s="701"/>
      <c r="AC128" s="702"/>
      <c r="AD128" s="702"/>
      <c r="AE128" s="703"/>
      <c r="AF128" s="20"/>
      <c r="AH128" s="109">
        <f t="shared" si="13"/>
        <v>0</v>
      </c>
      <c r="AI128" s="110">
        <f t="shared" si="12"/>
        <v>0</v>
      </c>
      <c r="AJ128" s="695"/>
    </row>
    <row r="129" spans="2:36" ht="15.45" customHeight="1">
      <c r="B129" s="19"/>
      <c r="C129" s="671"/>
      <c r="D129" s="672"/>
      <c r="E129" s="672"/>
      <c r="F129" s="673"/>
      <c r="G129" s="20"/>
      <c r="H129" s="162"/>
      <c r="I129" s="19"/>
      <c r="J129" s="664"/>
      <c r="K129" s="716"/>
      <c r="L129" s="717"/>
      <c r="M129" s="718"/>
      <c r="N129" s="24"/>
      <c r="O129" s="637" t="s">
        <v>519</v>
      </c>
      <c r="P129" s="638"/>
      <c r="Q129" s="638"/>
      <c r="R129" s="764"/>
      <c r="S129" s="176" t="b">
        <v>0</v>
      </c>
      <c r="T129" s="17"/>
      <c r="U129" s="671"/>
      <c r="V129" s="672"/>
      <c r="W129" s="672"/>
      <c r="X129" s="673"/>
      <c r="Y129" s="20"/>
      <c r="Z129" s="162"/>
      <c r="AA129" s="19"/>
      <c r="AB129" s="704"/>
      <c r="AC129" s="705"/>
      <c r="AD129" s="705"/>
      <c r="AE129" s="706"/>
      <c r="AF129" s="20"/>
      <c r="AH129" s="112">
        <f>IF(S129,1,0)</f>
        <v>0</v>
      </c>
      <c r="AI129" s="119"/>
      <c r="AJ129" s="696"/>
    </row>
    <row r="130" spans="2:36" ht="15" customHeight="1" thickBot="1">
      <c r="B130" s="19"/>
      <c r="C130" s="33"/>
      <c r="D130" s="33"/>
      <c r="E130" s="33"/>
      <c r="F130" s="33"/>
      <c r="G130" s="20"/>
      <c r="H130" s="162"/>
      <c r="I130" s="19"/>
      <c r="J130" s="56"/>
      <c r="K130" s="208"/>
      <c r="L130" s="208"/>
      <c r="M130" s="208"/>
      <c r="N130" s="17"/>
      <c r="O130" s="40"/>
      <c r="P130" s="40"/>
      <c r="Q130" s="40"/>
      <c r="R130" s="17"/>
      <c r="S130" s="25"/>
      <c r="T130" s="17"/>
      <c r="U130" s="17"/>
      <c r="V130" s="17"/>
      <c r="W130" s="17"/>
      <c r="X130" s="17"/>
      <c r="Y130" s="20"/>
      <c r="Z130" s="162"/>
      <c r="AA130" s="19"/>
      <c r="AB130" s="45"/>
      <c r="AC130" s="45"/>
      <c r="AD130" s="45"/>
      <c r="AE130" s="45"/>
      <c r="AF130" s="20"/>
      <c r="AH130" s="123">
        <f>SUM(AH113:AH129)</f>
        <v>0</v>
      </c>
      <c r="AI130" s="123">
        <f>SUM(AI113:AI128)</f>
        <v>0</v>
      </c>
      <c r="AJ130" s="123"/>
    </row>
    <row r="131" spans="2:36" ht="18" thickTop="1">
      <c r="B131" s="19"/>
      <c r="C131" s="33"/>
      <c r="D131" s="33"/>
      <c r="E131" s="33"/>
      <c r="F131" s="33"/>
      <c r="G131" s="20"/>
      <c r="H131" s="162"/>
      <c r="I131" s="19"/>
      <c r="J131" s="762" t="s">
        <v>42</v>
      </c>
      <c r="K131" s="762"/>
      <c r="L131" s="762"/>
      <c r="M131" s="762"/>
      <c r="N131" s="762"/>
      <c r="O131" s="762"/>
      <c r="P131" s="763"/>
      <c r="Q131" s="763"/>
      <c r="R131" s="762"/>
      <c r="S131" s="762"/>
      <c r="T131" s="56"/>
      <c r="U131" s="761" t="str">
        <f>ROUND(AJ113+AJ95+AJ45+AJ9, 0) &amp; "/"&amp;AN13</f>
        <v>0/18</v>
      </c>
      <c r="V131" s="761"/>
      <c r="W131" s="761"/>
      <c r="X131" s="761"/>
      <c r="Y131" s="20"/>
      <c r="Z131" s="162"/>
      <c r="AA131" s="19"/>
      <c r="AB131" s="45"/>
      <c r="AC131" s="45"/>
      <c r="AD131" s="45"/>
      <c r="AE131" s="45"/>
      <c r="AF131" s="20"/>
    </row>
    <row r="132" spans="2:36" ht="15" customHeight="1" thickBot="1">
      <c r="B132" s="53"/>
      <c r="C132" s="263"/>
      <c r="D132" s="263"/>
      <c r="E132" s="263"/>
      <c r="F132" s="263"/>
      <c r="G132" s="55"/>
      <c r="H132" s="162"/>
      <c r="I132" s="53"/>
      <c r="J132" s="61"/>
      <c r="K132" s="214"/>
      <c r="L132" s="214"/>
      <c r="M132" s="214"/>
      <c r="N132" s="42"/>
      <c r="O132" s="206"/>
      <c r="P132" s="206"/>
      <c r="Q132" s="206"/>
      <c r="R132" s="42"/>
      <c r="S132" s="54"/>
      <c r="T132" s="42"/>
      <c r="U132" s="42"/>
      <c r="V132" s="42"/>
      <c r="W132" s="42"/>
      <c r="X132" s="42"/>
      <c r="Y132" s="55"/>
      <c r="Z132" s="162"/>
      <c r="AA132" s="53"/>
      <c r="AB132" s="263"/>
      <c r="AC132" s="263"/>
      <c r="AD132" s="263"/>
      <c r="AE132" s="263"/>
      <c r="AF132" s="55"/>
      <c r="AH132" s="98">
        <f>SUM(AH130,AH110,AH92,AH42)</f>
        <v>0</v>
      </c>
      <c r="AI132" s="98">
        <f>SUM(AI130,AI110,AI92,AI42)</f>
        <v>0</v>
      </c>
      <c r="AJ132" s="98">
        <f>SUM(AJ113,AJ95,AJ45,AJ9)</f>
        <v>0</v>
      </c>
    </row>
    <row r="595" spans="34:34" ht="17.399999999999999">
      <c r="AH595" s="98">
        <v>1</v>
      </c>
    </row>
  </sheetData>
  <mergeCells count="149">
    <mergeCell ref="U131:X131"/>
    <mergeCell ref="J131:S131"/>
    <mergeCell ref="O123:R123"/>
    <mergeCell ref="O89:R89"/>
    <mergeCell ref="O78:R78"/>
    <mergeCell ref="O82:R82"/>
    <mergeCell ref="K95:M99"/>
    <mergeCell ref="O95:R95"/>
    <mergeCell ref="U95:X99"/>
    <mergeCell ref="O96:R96"/>
    <mergeCell ref="O97:R97"/>
    <mergeCell ref="O98:R98"/>
    <mergeCell ref="O99:R99"/>
    <mergeCell ref="K113:M117"/>
    <mergeCell ref="J113:J117"/>
    <mergeCell ref="O117:R117"/>
    <mergeCell ref="U113:X117"/>
    <mergeCell ref="J95:J99"/>
    <mergeCell ref="O129:R129"/>
    <mergeCell ref="U119:X129"/>
    <mergeCell ref="K106:M109"/>
    <mergeCell ref="O106:X109"/>
    <mergeCell ref="O103:R103"/>
    <mergeCell ref="J119:J129"/>
    <mergeCell ref="B2:G3"/>
    <mergeCell ref="C45:F91"/>
    <mergeCell ref="AB45:AE48"/>
    <mergeCell ref="O64:R64"/>
    <mergeCell ref="O65:R65"/>
    <mergeCell ref="J5:X5"/>
    <mergeCell ref="O83:R83"/>
    <mergeCell ref="O84:R84"/>
    <mergeCell ref="O71:R71"/>
    <mergeCell ref="O54:R54"/>
    <mergeCell ref="J45:J48"/>
    <mergeCell ref="K45:M48"/>
    <mergeCell ref="O48:R48"/>
    <mergeCell ref="U45:X48"/>
    <mergeCell ref="AA2:AF3"/>
    <mergeCell ref="AB9:AE23"/>
    <mergeCell ref="U9:X23"/>
    <mergeCell ref="O58:R58"/>
    <mergeCell ref="O59:R59"/>
    <mergeCell ref="J82:J86"/>
    <mergeCell ref="K82:M86"/>
    <mergeCell ref="U70:X74"/>
    <mergeCell ref="U76:X80"/>
    <mergeCell ref="U82:X86"/>
    <mergeCell ref="AO7:AO8"/>
    <mergeCell ref="I2:Y3"/>
    <mergeCell ref="O60:R60"/>
    <mergeCell ref="O22:R22"/>
    <mergeCell ref="J25:J41"/>
    <mergeCell ref="K25:M41"/>
    <mergeCell ref="O41:R41"/>
    <mergeCell ref="O23:R23"/>
    <mergeCell ref="AJ45:AJ91"/>
    <mergeCell ref="R24:S24"/>
    <mergeCell ref="K50:S50"/>
    <mergeCell ref="O45:R45"/>
    <mergeCell ref="O46:R46"/>
    <mergeCell ref="O47:R47"/>
    <mergeCell ref="AJ9:AJ41"/>
    <mergeCell ref="O66:R66"/>
    <mergeCell ref="J88:J91"/>
    <mergeCell ref="K88:M91"/>
    <mergeCell ref="J64:J68"/>
    <mergeCell ref="K64:M68"/>
    <mergeCell ref="J70:J74"/>
    <mergeCell ref="K70:M74"/>
    <mergeCell ref="J76:J80"/>
    <mergeCell ref="K76:M80"/>
    <mergeCell ref="K119:M129"/>
    <mergeCell ref="J101:J104"/>
    <mergeCell ref="K101:M104"/>
    <mergeCell ref="O101:R101"/>
    <mergeCell ref="O127:R127"/>
    <mergeCell ref="O128:R128"/>
    <mergeCell ref="O124:R124"/>
    <mergeCell ref="AB95:AE104"/>
    <mergeCell ref="O113:R113"/>
    <mergeCell ref="O119:R119"/>
    <mergeCell ref="O120:R120"/>
    <mergeCell ref="O121:R121"/>
    <mergeCell ref="U101:X104"/>
    <mergeCell ref="O102:R102"/>
    <mergeCell ref="O116:R116"/>
    <mergeCell ref="AB119:AE129"/>
    <mergeCell ref="O126:R126"/>
    <mergeCell ref="J106:J109"/>
    <mergeCell ref="AO97:AP98"/>
    <mergeCell ref="AO96:AP96"/>
    <mergeCell ref="O122:R122"/>
    <mergeCell ref="U88:X91"/>
    <mergeCell ref="AJ95:AJ109"/>
    <mergeCell ref="AL97:AL98"/>
    <mergeCell ref="AJ113:AJ129"/>
    <mergeCell ref="AB25:AE41"/>
    <mergeCell ref="AB106:AE109"/>
    <mergeCell ref="AB88:AE92"/>
    <mergeCell ref="AB113:AE117"/>
    <mergeCell ref="O125:R125"/>
    <mergeCell ref="AB52:AE86"/>
    <mergeCell ref="C95:F109"/>
    <mergeCell ref="U25:X41"/>
    <mergeCell ref="O115:R115"/>
    <mergeCell ref="O90:R90"/>
    <mergeCell ref="O91:R91"/>
    <mergeCell ref="O88:R88"/>
    <mergeCell ref="O70:R70"/>
    <mergeCell ref="O72:R72"/>
    <mergeCell ref="O76:R76"/>
    <mergeCell ref="O77:R77"/>
    <mergeCell ref="O114:R114"/>
    <mergeCell ref="U58:X62"/>
    <mergeCell ref="O52:R52"/>
    <mergeCell ref="O104:R104"/>
    <mergeCell ref="U64:X68"/>
    <mergeCell ref="O25:R25"/>
    <mergeCell ref="O26:R26"/>
    <mergeCell ref="O27:R27"/>
    <mergeCell ref="O28:R28"/>
    <mergeCell ref="O29:R29"/>
    <mergeCell ref="O30:R30"/>
    <mergeCell ref="O40:R40"/>
    <mergeCell ref="K9:M23"/>
    <mergeCell ref="J9:J23"/>
    <mergeCell ref="C113:F129"/>
    <mergeCell ref="C9:F41"/>
    <mergeCell ref="AH7:AH8"/>
    <mergeCell ref="AI7:AI8"/>
    <mergeCell ref="AJ7:AJ8"/>
    <mergeCell ref="AM96:AN96"/>
    <mergeCell ref="AM97:AN98"/>
    <mergeCell ref="J52:J56"/>
    <mergeCell ref="K52:M56"/>
    <mergeCell ref="O53:R53"/>
    <mergeCell ref="U52:X56"/>
    <mergeCell ref="J58:J62"/>
    <mergeCell ref="K58:M62"/>
    <mergeCell ref="O31:R31"/>
    <mergeCell ref="O32:R32"/>
    <mergeCell ref="O33:R33"/>
    <mergeCell ref="O34:R34"/>
    <mergeCell ref="O35:R35"/>
    <mergeCell ref="O36:R36"/>
    <mergeCell ref="O37:R37"/>
    <mergeCell ref="O38:R38"/>
    <mergeCell ref="O39:R39"/>
  </mergeCells>
  <conditionalFormatting sqref="O40">
    <cfRule type="expression" dxfId="679" priority="103">
      <formula>$S$40</formula>
    </cfRule>
  </conditionalFormatting>
  <conditionalFormatting sqref="O23:Q23 S23">
    <cfRule type="expression" dxfId="678" priority="563">
      <formula>$S$22</formula>
    </cfRule>
  </conditionalFormatting>
  <conditionalFormatting sqref="O23:Q23">
    <cfRule type="expression" dxfId="677" priority="562">
      <formula>$S$23</formula>
    </cfRule>
  </conditionalFormatting>
  <conditionalFormatting sqref="O25:Q25">
    <cfRule type="expression" dxfId="676" priority="300">
      <formula>$S$25</formula>
    </cfRule>
  </conditionalFormatting>
  <conditionalFormatting sqref="O25:Q39 S25:S39 O40:S40">
    <cfRule type="expression" dxfId="675" priority="96">
      <formula>$S$41</formula>
    </cfRule>
  </conditionalFormatting>
  <conditionalFormatting sqref="O26:Q26">
    <cfRule type="expression" dxfId="674" priority="299">
      <formula>$S$26</formula>
    </cfRule>
  </conditionalFormatting>
  <conditionalFormatting sqref="O27:Q27">
    <cfRule type="expression" dxfId="673" priority="298">
      <formula>$S$27</formula>
    </cfRule>
  </conditionalFormatting>
  <conditionalFormatting sqref="O28:Q28">
    <cfRule type="expression" dxfId="672" priority="297">
      <formula>$S$28</formula>
    </cfRule>
  </conditionalFormatting>
  <conditionalFormatting sqref="O29:Q29">
    <cfRule type="expression" dxfId="671" priority="248">
      <formula>$S$29</formula>
    </cfRule>
  </conditionalFormatting>
  <conditionalFormatting sqref="O30:Q30">
    <cfRule type="expression" dxfId="670" priority="247">
      <formula>$S$30</formula>
    </cfRule>
  </conditionalFormatting>
  <conditionalFormatting sqref="O31:Q31">
    <cfRule type="expression" dxfId="669" priority="246">
      <formula>$S$31</formula>
    </cfRule>
  </conditionalFormatting>
  <conditionalFormatting sqref="O32:Q32">
    <cfRule type="expression" dxfId="668" priority="245">
      <formula>$S$32</formula>
    </cfRule>
  </conditionalFormatting>
  <conditionalFormatting sqref="O33:Q33">
    <cfRule type="expression" dxfId="667" priority="244">
      <formula>$S$33</formula>
    </cfRule>
  </conditionalFormatting>
  <conditionalFormatting sqref="O34:Q34">
    <cfRule type="expression" dxfId="666" priority="243">
      <formula>$S$34</formula>
    </cfRule>
  </conditionalFormatting>
  <conditionalFormatting sqref="O35:Q35">
    <cfRule type="expression" dxfId="665" priority="242">
      <formula>$S$35</formula>
    </cfRule>
  </conditionalFormatting>
  <conditionalFormatting sqref="O36:Q36">
    <cfRule type="expression" dxfId="664" priority="241">
      <formula>$S$36</formula>
    </cfRule>
  </conditionalFormatting>
  <conditionalFormatting sqref="O37:Q37">
    <cfRule type="expression" dxfId="663" priority="240">
      <formula>$S$37</formula>
    </cfRule>
  </conditionalFormatting>
  <conditionalFormatting sqref="O38:Q38">
    <cfRule type="expression" dxfId="662" priority="239">
      <formula>$S$38</formula>
    </cfRule>
  </conditionalFormatting>
  <conditionalFormatting sqref="O39:Q39">
    <cfRule type="expression" dxfId="661" priority="238">
      <formula>$S$39</formula>
    </cfRule>
  </conditionalFormatting>
  <conditionalFormatting sqref="O88:Q88 O90:Q91 S90:S91">
    <cfRule type="expression" dxfId="660" priority="232">
      <formula>$S$89</formula>
    </cfRule>
  </conditionalFormatting>
  <conditionalFormatting sqref="O88:Q89 O91:Q91 S91">
    <cfRule type="expression" dxfId="659" priority="231">
      <formula>$S$90</formula>
    </cfRule>
  </conditionalFormatting>
  <conditionalFormatting sqref="O88:Q90 S88:S90">
    <cfRule type="expression" dxfId="658" priority="229">
      <formula>$S$91</formula>
    </cfRule>
  </conditionalFormatting>
  <conditionalFormatting sqref="O88:Q91 S88:S91">
    <cfRule type="expression" dxfId="657" priority="230">
      <formula>#REF!</formula>
    </cfRule>
  </conditionalFormatting>
  <conditionalFormatting sqref="O89:Q91 S89:S91">
    <cfRule type="expression" dxfId="656" priority="233">
      <formula>$S$88</formula>
    </cfRule>
  </conditionalFormatting>
  <conditionalFormatting sqref="O113:Q113 S113 O115:Q117 S115:S117">
    <cfRule type="expression" dxfId="655" priority="118">
      <formula>$S$114</formula>
    </cfRule>
  </conditionalFormatting>
  <conditionalFormatting sqref="O113:Q114 S113:S114 O116:Q117 S116:S117">
    <cfRule type="expression" dxfId="654" priority="117">
      <formula>$S$115</formula>
    </cfRule>
  </conditionalFormatting>
  <conditionalFormatting sqref="O113:Q115 S113:S115 O117:Q117 S117">
    <cfRule type="expression" dxfId="653" priority="116">
      <formula>$S$116</formula>
    </cfRule>
  </conditionalFormatting>
  <conditionalFormatting sqref="O113:Q116 S113:S116">
    <cfRule type="expression" dxfId="652" priority="115">
      <formula>$S$117</formula>
    </cfRule>
  </conditionalFormatting>
  <conditionalFormatting sqref="O114:Q117 S114:S117">
    <cfRule type="expression" dxfId="651" priority="119">
      <formula>$S$113</formula>
    </cfRule>
  </conditionalFormatting>
  <conditionalFormatting sqref="O22:R22">
    <cfRule type="expression" dxfId="650" priority="97">
      <formula>$S$22</formula>
    </cfRule>
  </conditionalFormatting>
  <conditionalFormatting sqref="O41:R41">
    <cfRule type="expression" dxfId="649" priority="95">
      <formula>$S$41</formula>
    </cfRule>
  </conditionalFormatting>
  <conditionalFormatting sqref="O95:R95">
    <cfRule type="expression" dxfId="648" priority="127">
      <formula>$S$96</formula>
    </cfRule>
  </conditionalFormatting>
  <conditionalFormatting sqref="O95:R96">
    <cfRule type="expression" dxfId="647" priority="126">
      <formula>$S$97</formula>
    </cfRule>
  </conditionalFormatting>
  <conditionalFormatting sqref="O95:R97">
    <cfRule type="expression" dxfId="646" priority="125">
      <formula>$S$98</formula>
    </cfRule>
  </conditionalFormatting>
  <conditionalFormatting sqref="O95:R98">
    <cfRule type="expression" dxfId="645" priority="124">
      <formula>$S$99</formula>
    </cfRule>
  </conditionalFormatting>
  <conditionalFormatting sqref="O96:R99">
    <cfRule type="expression" dxfId="644" priority="128">
      <formula>$S$95</formula>
    </cfRule>
  </conditionalFormatting>
  <conditionalFormatting sqref="O97:R99">
    <cfRule type="expression" dxfId="643" priority="132">
      <formula>$S$96</formula>
    </cfRule>
  </conditionalFormatting>
  <conditionalFormatting sqref="O98:R99">
    <cfRule type="expression" dxfId="642" priority="131">
      <formula>$S$97</formula>
    </cfRule>
  </conditionalFormatting>
  <conditionalFormatting sqref="O99:R99">
    <cfRule type="expression" dxfId="641" priority="130">
      <formula>$S$98</formula>
    </cfRule>
  </conditionalFormatting>
  <conditionalFormatting sqref="O101:R101 O103:R104">
    <cfRule type="expression" dxfId="640" priority="122">
      <formula>$S$102</formula>
    </cfRule>
  </conditionalFormatting>
  <conditionalFormatting sqref="O101:R102 O104:R104">
    <cfRule type="expression" dxfId="639" priority="121">
      <formula>$S$103</formula>
    </cfRule>
  </conditionalFormatting>
  <conditionalFormatting sqref="O101:R103">
    <cfRule type="expression" dxfId="638" priority="120">
      <formula>$S$104</formula>
    </cfRule>
  </conditionalFormatting>
  <conditionalFormatting sqref="O102:R104">
    <cfRule type="expression" dxfId="637" priority="123">
      <formula>$S$101</formula>
    </cfRule>
  </conditionalFormatting>
  <conditionalFormatting sqref="O119:R119">
    <cfRule type="expression" dxfId="636" priority="259">
      <formula>$S$119</formula>
    </cfRule>
  </conditionalFormatting>
  <conditionalFormatting sqref="O120:R120">
    <cfRule type="expression" dxfId="635" priority="258">
      <formula>$S$120</formula>
    </cfRule>
  </conditionalFormatting>
  <conditionalFormatting sqref="O121:R121">
    <cfRule type="expression" dxfId="634" priority="257">
      <formula>$S$121</formula>
    </cfRule>
  </conditionalFormatting>
  <conditionalFormatting sqref="O122:R122">
    <cfRule type="expression" dxfId="633" priority="256">
      <formula>$S$122</formula>
    </cfRule>
  </conditionalFormatting>
  <conditionalFormatting sqref="O123:R123">
    <cfRule type="expression" dxfId="632" priority="255">
      <formula>$S$123</formula>
    </cfRule>
  </conditionalFormatting>
  <conditionalFormatting sqref="O124:R124">
    <cfRule type="expression" dxfId="631" priority="253">
      <formula>$S$124</formula>
    </cfRule>
  </conditionalFormatting>
  <conditionalFormatting sqref="O125:R125">
    <cfRule type="expression" dxfId="630" priority="252">
      <formula>$S$125</formula>
    </cfRule>
  </conditionalFormatting>
  <conditionalFormatting sqref="O126:R126">
    <cfRule type="expression" dxfId="629" priority="251">
      <formula>$S$126</formula>
    </cfRule>
  </conditionalFormatting>
  <conditionalFormatting sqref="O127:R127">
    <cfRule type="expression" dxfId="628" priority="250">
      <formula>$S$127</formula>
    </cfRule>
  </conditionalFormatting>
  <conditionalFormatting sqref="O128:R128">
    <cfRule type="expression" dxfId="627" priority="64">
      <formula>$S$128</formula>
    </cfRule>
  </conditionalFormatting>
  <conditionalFormatting sqref="O129:R129">
    <cfRule type="expression" dxfId="626" priority="66">
      <formula>$S$129</formula>
    </cfRule>
  </conditionalFormatting>
  <conditionalFormatting sqref="O9:S21">
    <cfRule type="expression" dxfId="625" priority="48">
      <formula>$S$22</formula>
    </cfRule>
  </conditionalFormatting>
  <conditionalFormatting sqref="O45:S45 O47:S48">
    <cfRule type="expression" dxfId="624" priority="236">
      <formula>$S$46</formula>
    </cfRule>
  </conditionalFormatting>
  <conditionalFormatting sqref="O45:S46 O48:S48">
    <cfRule type="expression" dxfId="623" priority="235">
      <formula>$S$47</formula>
    </cfRule>
  </conditionalFormatting>
  <conditionalFormatting sqref="O45:S47">
    <cfRule type="expression" dxfId="622" priority="234">
      <formula>$S$48</formula>
    </cfRule>
  </conditionalFormatting>
  <conditionalFormatting sqref="O46:S48">
    <cfRule type="expression" dxfId="621" priority="237">
      <formula>$S$45</formula>
    </cfRule>
  </conditionalFormatting>
  <conditionalFormatting sqref="O52:S52 O54:S56">
    <cfRule type="expression" dxfId="620" priority="30">
      <formula>$S$53</formula>
    </cfRule>
  </conditionalFormatting>
  <conditionalFormatting sqref="O52:S53 O55:S56">
    <cfRule type="expression" dxfId="619" priority="29">
      <formula>$S$54</formula>
    </cfRule>
  </conditionalFormatting>
  <conditionalFormatting sqref="O52:S54 O56:T56">
    <cfRule type="expression" dxfId="618" priority="28">
      <formula>$S$55</formula>
    </cfRule>
  </conditionalFormatting>
  <conditionalFormatting sqref="O52:S55">
    <cfRule type="expression" dxfId="617" priority="27">
      <formula>$S$56</formula>
    </cfRule>
  </conditionalFormatting>
  <conditionalFormatting sqref="O53:S56">
    <cfRule type="expression" dxfId="616" priority="31">
      <formula>$S$52</formula>
    </cfRule>
  </conditionalFormatting>
  <conditionalFormatting sqref="O58:S58 O60:S62">
    <cfRule type="expression" dxfId="615" priority="25">
      <formula>$S$59</formula>
    </cfRule>
  </conditionalFormatting>
  <conditionalFormatting sqref="O58:S59 O61:S62">
    <cfRule type="expression" dxfId="614" priority="24">
      <formula>$S$60</formula>
    </cfRule>
  </conditionalFormatting>
  <conditionalFormatting sqref="O58:S60 O62:S62">
    <cfRule type="expression" dxfId="613" priority="23">
      <formula>$S$61</formula>
    </cfRule>
  </conditionalFormatting>
  <conditionalFormatting sqref="O58:S61">
    <cfRule type="expression" dxfId="612" priority="22">
      <formula>$S$62</formula>
    </cfRule>
  </conditionalFormatting>
  <conditionalFormatting sqref="O59:S62">
    <cfRule type="expression" dxfId="611" priority="26">
      <formula>$S$58</formula>
    </cfRule>
  </conditionalFormatting>
  <conditionalFormatting sqref="O64:S64 O66:S68">
    <cfRule type="expression" dxfId="610" priority="20">
      <formula>$S$65</formula>
    </cfRule>
  </conditionalFormatting>
  <conditionalFormatting sqref="O64:S65 O67:S68">
    <cfRule type="expression" dxfId="609" priority="19">
      <formula>$S$66</formula>
    </cfRule>
  </conditionalFormatting>
  <conditionalFormatting sqref="O64:S66 O68:S68">
    <cfRule type="expression" dxfId="608" priority="18">
      <formula>$S$67</formula>
    </cfRule>
  </conditionalFormatting>
  <conditionalFormatting sqref="O64:S67">
    <cfRule type="expression" dxfId="607" priority="17">
      <formula>$S$68</formula>
    </cfRule>
  </conditionalFormatting>
  <conditionalFormatting sqref="O65:S68">
    <cfRule type="expression" dxfId="606" priority="21">
      <formula>$S$64</formula>
    </cfRule>
  </conditionalFormatting>
  <conditionalFormatting sqref="O70:S70 O72:S74">
    <cfRule type="expression" dxfId="605" priority="15">
      <formula>$S$71</formula>
    </cfRule>
  </conditionalFormatting>
  <conditionalFormatting sqref="O70:S71 O73:S74">
    <cfRule type="expression" dxfId="604" priority="14">
      <formula>$S$72</formula>
    </cfRule>
  </conditionalFormatting>
  <conditionalFormatting sqref="O70:S72 O74:S74">
    <cfRule type="expression" dxfId="603" priority="13">
      <formula>$S$73</formula>
    </cfRule>
  </conditionalFormatting>
  <conditionalFormatting sqref="O70:S73">
    <cfRule type="expression" dxfId="602" priority="12">
      <formula>$S$74</formula>
    </cfRule>
  </conditionalFormatting>
  <conditionalFormatting sqref="O71:S74">
    <cfRule type="expression" dxfId="601" priority="16">
      <formula>$S$70</formula>
    </cfRule>
  </conditionalFormatting>
  <conditionalFormatting sqref="O76:S76 O78:S80">
    <cfRule type="expression" dxfId="600" priority="10">
      <formula>$S$77</formula>
    </cfRule>
  </conditionalFormatting>
  <conditionalFormatting sqref="O76:S77 O79:S80">
    <cfRule type="expression" dxfId="599" priority="9">
      <formula>$S$78</formula>
    </cfRule>
  </conditionalFormatting>
  <conditionalFormatting sqref="O76:S78 O80:S80">
    <cfRule type="expression" dxfId="598" priority="8">
      <formula>$S$79</formula>
    </cfRule>
  </conditionalFormatting>
  <conditionalFormatting sqref="O76:S79">
    <cfRule type="expression" dxfId="597" priority="7">
      <formula>$S$80</formula>
    </cfRule>
  </conditionalFormatting>
  <conditionalFormatting sqref="O77:S80">
    <cfRule type="expression" dxfId="596" priority="11">
      <formula>$S$76</formula>
    </cfRule>
  </conditionalFormatting>
  <conditionalFormatting sqref="O82:S82 O84:S86">
    <cfRule type="expression" dxfId="595" priority="5">
      <formula>$S$83</formula>
    </cfRule>
  </conditionalFormatting>
  <conditionalFormatting sqref="O82:S83 O85:S86">
    <cfRule type="expression" dxfId="594" priority="4">
      <formula>$S$84</formula>
    </cfRule>
  </conditionalFormatting>
  <conditionalFormatting sqref="O82:S84 O86:S86">
    <cfRule type="expression" dxfId="593" priority="3">
      <formula>$S$85</formula>
    </cfRule>
  </conditionalFormatting>
  <conditionalFormatting sqref="O82:S85">
    <cfRule type="expression" dxfId="592" priority="2">
      <formula>$S$86</formula>
    </cfRule>
  </conditionalFormatting>
  <conditionalFormatting sqref="O83:S86">
    <cfRule type="expression" dxfId="591" priority="6">
      <formula>$S$82</formula>
    </cfRule>
  </conditionalFormatting>
  <conditionalFormatting sqref="O119:S128">
    <cfRule type="expression" dxfId="590" priority="65">
      <formula>$S$129</formula>
    </cfRule>
  </conditionalFormatting>
  <conditionalFormatting sqref="S88">
    <cfRule type="expression" dxfId="589" priority="147">
      <formula>$S$89</formula>
    </cfRule>
  </conditionalFormatting>
  <conditionalFormatting sqref="S88:S89">
    <cfRule type="expression" dxfId="588" priority="146">
      <formula>$S$90</formula>
    </cfRule>
  </conditionalFormatting>
  <conditionalFormatting sqref="U9">
    <cfRule type="expression" dxfId="587" priority="565">
      <formula>$S$23</formula>
    </cfRule>
  </conditionalFormatting>
  <conditionalFormatting sqref="AB9">
    <cfRule type="expression" dxfId="586" priority="567">
      <formula>$S$22</formula>
    </cfRule>
  </conditionalFormatting>
  <conditionalFormatting sqref="AB88">
    <cfRule type="expression" dxfId="585" priority="100">
      <formula>$S$91</formula>
    </cfRule>
  </conditionalFormatting>
  <conditionalFormatting sqref="AB25:AE41">
    <cfRule type="expression" dxfId="584" priority="94">
      <formula>$S$41</formula>
    </cfRule>
  </conditionalFormatting>
  <conditionalFormatting sqref="AB45:AE48">
    <cfRule type="expression" dxfId="583" priority="102">
      <formula>$S$48</formula>
    </cfRule>
  </conditionalFormatting>
  <conditionalFormatting sqref="AB52:AE86">
    <cfRule type="expression" dxfId="582" priority="36">
      <formula>$S$74</formula>
    </cfRule>
    <cfRule type="expression" dxfId="581" priority="35">
      <formula>$S$84</formula>
    </cfRule>
    <cfRule type="expression" dxfId="580" priority="40">
      <formula>$S$62</formula>
    </cfRule>
    <cfRule type="expression" dxfId="579" priority="34">
      <formula>$S$86</formula>
    </cfRule>
    <cfRule type="expression" dxfId="578" priority="44">
      <formula>$S$54</formula>
    </cfRule>
    <cfRule type="expression" dxfId="577" priority="33">
      <formula>$S$78</formula>
    </cfRule>
    <cfRule type="expression" dxfId="576" priority="32">
      <formula>$S$80</formula>
    </cfRule>
    <cfRule type="expression" dxfId="575" priority="42">
      <formula>$S$56</formula>
    </cfRule>
    <cfRule type="expression" dxfId="574" priority="41">
      <formula>$S$60</formula>
    </cfRule>
    <cfRule type="expression" dxfId="573" priority="39">
      <formula>$S$66</formula>
    </cfRule>
    <cfRule type="expression" dxfId="572" priority="38">
      <formula>$S$68</formula>
    </cfRule>
    <cfRule type="expression" dxfId="571" priority="37">
      <formula>$S$72</formula>
    </cfRule>
  </conditionalFormatting>
  <conditionalFormatting sqref="AB88:AE92">
    <cfRule type="expression" dxfId="570" priority="599">
      <formula>$S$89</formula>
    </cfRule>
    <cfRule type="expression" dxfId="569" priority="600">
      <formula>$S$90</formula>
    </cfRule>
    <cfRule type="expression" dxfId="568" priority="601">
      <formula>#REF!</formula>
    </cfRule>
  </conditionalFormatting>
  <conditionalFormatting sqref="AB95:AE104">
    <cfRule type="expression" dxfId="567" priority="631">
      <formula>$S$104</formula>
    </cfRule>
    <cfRule type="expression" dxfId="566" priority="632">
      <formula>$S$103</formula>
    </cfRule>
    <cfRule type="expression" dxfId="565" priority="633">
      <formula>$S$99</formula>
    </cfRule>
    <cfRule type="expression" dxfId="564" priority="634">
      <formula>$S$98</formula>
    </cfRule>
    <cfRule type="expression" dxfId="563" priority="635">
      <formula>#REF!</formula>
    </cfRule>
  </conditionalFormatting>
  <conditionalFormatting sqref="AB113:AE117">
    <cfRule type="expression" dxfId="562" priority="70">
      <formula>$S$116</formula>
    </cfRule>
    <cfRule type="expression" dxfId="561" priority="71">
      <formula>$S$117</formula>
    </cfRule>
    <cfRule type="expression" dxfId="560" priority="68">
      <formula>$S$114</formula>
    </cfRule>
    <cfRule type="expression" dxfId="559" priority="69">
      <formula>$S$115</formula>
    </cfRule>
  </conditionalFormatting>
  <conditionalFormatting sqref="AB119:AE129">
    <cfRule type="expression" dxfId="558" priority="67">
      <formula>$S$129</formula>
    </cfRule>
  </conditionalFormatting>
  <conditionalFormatting sqref="AL97:AM97 AL98">
    <cfRule type="expression" dxfId="557" priority="57">
      <formula>ISNUMBER($AL$97)</formula>
    </cfRule>
  </conditionalFormatting>
  <conditionalFormatting sqref="AM97">
    <cfRule type="expression" dxfId="556" priority="56">
      <formula>ISNUMBER($AM$97)</formula>
    </cfRule>
  </conditionalFormatting>
  <conditionalFormatting sqref="AO97">
    <cfRule type="expression" dxfId="555" priority="55">
      <formula>ISNUMBER($AO$97)</formula>
    </cfRule>
  </conditionalFormatting>
  <dataValidations disablePrompts="1" count="1">
    <dataValidation type="list" allowBlank="1" showInputMessage="1" showErrorMessage="1" sqref="O24:S24" xr:uid="{817573A2-A287-4860-B914-2D21F1010FBA}">
      <formula1>Internal_stakeholders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DA53-FC76-424C-9A42-B3D3AB78868B}">
  <sheetPr codeName="Sheet7">
    <tabColor theme="6" tint="0.39997558519241921"/>
  </sheetPr>
  <dimension ref="B1:AL87"/>
  <sheetViews>
    <sheetView showGridLines="0" zoomScale="80" zoomScaleNormal="100" workbookViewId="0">
      <selection activeCell="M62" sqref="M62"/>
    </sheetView>
  </sheetViews>
  <sheetFormatPr defaultColWidth="8.77734375" defaultRowHeight="17.399999999999999"/>
  <cols>
    <col min="1" max="1" width="3.33203125" style="91" customWidth="1"/>
    <col min="2" max="2" width="3.109375" style="92" customWidth="1"/>
    <col min="3" max="6" width="10.77734375" style="92" customWidth="1"/>
    <col min="7" max="8" width="3.109375" style="92" customWidth="1"/>
    <col min="9" max="9" width="3.77734375" style="91" customWidth="1"/>
    <col min="10" max="10" width="9.109375" style="124" customWidth="1"/>
    <col min="11" max="13" width="14.109375" style="218" customWidth="1"/>
    <col min="14" max="14" width="3" style="91" customWidth="1"/>
    <col min="15" max="15" width="81.77734375" style="91" customWidth="1"/>
    <col min="16" max="16" width="5.33203125" style="125" customWidth="1"/>
    <col min="17" max="17" width="3.21875" style="91" customWidth="1"/>
    <col min="18" max="21" width="8.77734375" style="91"/>
    <col min="22" max="22" width="3.109375" style="91" customWidth="1"/>
    <col min="23" max="24" width="3.109375" style="92" customWidth="1"/>
    <col min="25" max="28" width="15.88671875" style="97" customWidth="1"/>
    <col min="29" max="29" width="3.109375" style="92" customWidth="1"/>
    <col min="30" max="30" width="8.77734375" style="92" customWidth="1"/>
    <col min="31" max="31" width="17.6640625" style="98" bestFit="1" customWidth="1"/>
    <col min="32" max="32" width="17.33203125" style="98" bestFit="1" customWidth="1"/>
    <col min="33" max="33" width="20.109375" style="100" bestFit="1" customWidth="1"/>
    <col min="34" max="34" width="8.77734375" style="99" customWidth="1"/>
    <col min="35" max="35" width="8.21875" style="98" bestFit="1" customWidth="1"/>
    <col min="36" max="36" width="16.44140625" style="98" bestFit="1" customWidth="1"/>
    <col min="37" max="37" width="13.6640625" style="94" bestFit="1" customWidth="1"/>
    <col min="38" max="38" width="12.88671875" style="94" customWidth="1"/>
    <col min="39" max="16384" width="8.77734375" style="91"/>
  </cols>
  <sheetData>
    <row r="1" spans="2:38" ht="18" thickBot="1"/>
    <row r="2" spans="2:38" s="535" customFormat="1" ht="16.05" customHeight="1">
      <c r="B2" s="724" t="s">
        <v>61</v>
      </c>
      <c r="C2" s="725"/>
      <c r="D2" s="725"/>
      <c r="E2" s="725"/>
      <c r="F2" s="725"/>
      <c r="G2" s="726"/>
      <c r="H2" s="528"/>
      <c r="I2" s="724" t="s">
        <v>43</v>
      </c>
      <c r="J2" s="725"/>
      <c r="K2" s="725"/>
      <c r="L2" s="725"/>
      <c r="M2" s="725"/>
      <c r="N2" s="725"/>
      <c r="O2" s="725"/>
      <c r="P2" s="725"/>
      <c r="Q2" s="725"/>
      <c r="R2" s="725"/>
      <c r="S2" s="725"/>
      <c r="T2" s="725"/>
      <c r="U2" s="725"/>
      <c r="V2" s="726"/>
      <c r="W2" s="528"/>
      <c r="X2" s="724" t="s">
        <v>329</v>
      </c>
      <c r="Y2" s="725"/>
      <c r="Z2" s="725"/>
      <c r="AA2" s="725"/>
      <c r="AB2" s="725"/>
      <c r="AC2" s="726"/>
      <c r="AD2" s="530"/>
      <c r="AE2" s="531"/>
      <c r="AF2" s="531"/>
      <c r="AG2" s="532"/>
      <c r="AH2" s="533"/>
      <c r="AI2" s="531"/>
      <c r="AJ2" s="531"/>
      <c r="AK2" s="534"/>
      <c r="AL2" s="534"/>
    </row>
    <row r="3" spans="2:38" s="535" customFormat="1" ht="16.05" customHeight="1" thickBot="1">
      <c r="B3" s="727"/>
      <c r="C3" s="728"/>
      <c r="D3" s="728"/>
      <c r="E3" s="728"/>
      <c r="F3" s="728"/>
      <c r="G3" s="729"/>
      <c r="H3" s="528"/>
      <c r="I3" s="727"/>
      <c r="J3" s="728"/>
      <c r="K3" s="728"/>
      <c r="L3" s="728"/>
      <c r="M3" s="728"/>
      <c r="N3" s="728"/>
      <c r="O3" s="728"/>
      <c r="P3" s="728"/>
      <c r="Q3" s="728"/>
      <c r="R3" s="728"/>
      <c r="S3" s="728"/>
      <c r="T3" s="728"/>
      <c r="U3" s="728"/>
      <c r="V3" s="729"/>
      <c r="W3" s="528"/>
      <c r="X3" s="727"/>
      <c r="Y3" s="728"/>
      <c r="Z3" s="728"/>
      <c r="AA3" s="728"/>
      <c r="AB3" s="728"/>
      <c r="AC3" s="729"/>
      <c r="AD3" s="530"/>
      <c r="AE3" s="531"/>
      <c r="AF3" s="531"/>
      <c r="AG3" s="532"/>
      <c r="AH3" s="533"/>
      <c r="AI3" s="531"/>
      <c r="AJ3" s="531"/>
      <c r="AK3" s="534"/>
      <c r="AL3" s="534"/>
    </row>
    <row r="4" spans="2:38">
      <c r="B4" s="19"/>
      <c r="C4" s="17"/>
      <c r="D4" s="17"/>
      <c r="E4" s="17"/>
      <c r="F4" s="17"/>
      <c r="G4" s="20"/>
      <c r="H4" s="162"/>
      <c r="I4" s="19"/>
      <c r="J4" s="56"/>
      <c r="K4" s="172"/>
      <c r="L4" s="172"/>
      <c r="M4" s="172"/>
      <c r="N4" s="17"/>
      <c r="O4" s="17"/>
      <c r="P4" s="25"/>
      <c r="Q4" s="17"/>
      <c r="R4" s="17"/>
      <c r="S4" s="17"/>
      <c r="T4" s="17"/>
      <c r="U4" s="17"/>
      <c r="V4" s="20"/>
      <c r="W4" s="162"/>
      <c r="X4" s="19"/>
      <c r="Y4" s="40"/>
      <c r="Z4" s="40"/>
      <c r="AA4" s="40"/>
      <c r="AB4" s="40"/>
      <c r="AC4" s="20"/>
    </row>
    <row r="5" spans="2:38" ht="18" customHeight="1">
      <c r="B5" s="19"/>
      <c r="C5" s="33"/>
      <c r="D5" s="33"/>
      <c r="E5" s="33"/>
      <c r="F5" s="33"/>
      <c r="G5" s="20"/>
      <c r="H5" s="162"/>
      <c r="I5" s="19"/>
      <c r="J5" s="28" t="s">
        <v>10</v>
      </c>
      <c r="K5" s="223" t="s">
        <v>44</v>
      </c>
      <c r="L5" s="172"/>
      <c r="M5" s="172"/>
      <c r="N5" s="17"/>
      <c r="O5" s="17"/>
      <c r="P5" s="25"/>
      <c r="Q5" s="17"/>
      <c r="R5" s="17"/>
      <c r="S5" s="17"/>
      <c r="T5" s="17"/>
      <c r="U5" s="17"/>
      <c r="V5" s="20"/>
      <c r="W5" s="162"/>
      <c r="X5" s="19"/>
      <c r="Y5" s="40"/>
      <c r="Z5" s="40"/>
      <c r="AA5" s="40"/>
      <c r="AB5" s="40"/>
      <c r="AC5" s="20"/>
      <c r="AE5" s="177" t="s">
        <v>316</v>
      </c>
      <c r="AF5" s="178" t="s">
        <v>11</v>
      </c>
      <c r="AG5" s="185" t="s">
        <v>365</v>
      </c>
      <c r="AI5" s="105" t="s">
        <v>313</v>
      </c>
      <c r="AJ5" s="105" t="s">
        <v>314</v>
      </c>
      <c r="AK5" s="105" t="s">
        <v>314</v>
      </c>
      <c r="AL5" s="680" t="s">
        <v>368</v>
      </c>
    </row>
    <row r="6" spans="2:38">
      <c r="B6" s="19"/>
      <c r="C6" s="33"/>
      <c r="D6" s="33"/>
      <c r="E6" s="33"/>
      <c r="F6" s="33"/>
      <c r="G6" s="20"/>
      <c r="H6" s="162"/>
      <c r="I6" s="19"/>
      <c r="J6" s="56"/>
      <c r="K6" s="172"/>
      <c r="L6" s="172"/>
      <c r="M6" s="172"/>
      <c r="N6" s="17"/>
      <c r="O6" s="17"/>
      <c r="P6" s="25"/>
      <c r="Q6" s="17"/>
      <c r="R6" s="17"/>
      <c r="S6" s="17"/>
      <c r="T6" s="17"/>
      <c r="U6" s="17"/>
      <c r="V6" s="20"/>
      <c r="W6" s="162"/>
      <c r="X6" s="19"/>
      <c r="Y6" s="40"/>
      <c r="Z6" s="40"/>
      <c r="AA6" s="40"/>
      <c r="AB6" s="40"/>
      <c r="AC6" s="20"/>
      <c r="AE6" s="106"/>
      <c r="AF6" s="107"/>
      <c r="AG6" s="232"/>
      <c r="AI6" s="180"/>
      <c r="AJ6" s="180" t="s">
        <v>366</v>
      </c>
      <c r="AK6" s="180" t="s">
        <v>367</v>
      </c>
      <c r="AL6" s="680"/>
    </row>
    <row r="7" spans="2:38" ht="15.45" customHeight="1">
      <c r="B7" s="19"/>
      <c r="C7" s="665" t="s">
        <v>1122</v>
      </c>
      <c r="D7" s="666"/>
      <c r="E7" s="666"/>
      <c r="F7" s="667"/>
      <c r="G7" s="20"/>
      <c r="H7" s="162"/>
      <c r="I7" s="19"/>
      <c r="J7" s="793">
        <v>1.1000000000000001</v>
      </c>
      <c r="K7" s="802" t="s">
        <v>1037</v>
      </c>
      <c r="L7" s="802"/>
      <c r="M7" s="802"/>
      <c r="N7" s="24"/>
      <c r="O7" s="21" t="s">
        <v>1038</v>
      </c>
      <c r="P7" s="37" t="b">
        <v>0</v>
      </c>
      <c r="Q7" s="22"/>
      <c r="R7" s="794" t="s">
        <v>60</v>
      </c>
      <c r="S7" s="794"/>
      <c r="T7" s="794"/>
      <c r="U7" s="794"/>
      <c r="V7" s="23"/>
      <c r="W7" s="162"/>
      <c r="X7" s="19"/>
      <c r="Y7" s="619" t="str">
        <f>IF(AE17,Feedback_List!B18, " ")</f>
        <v xml:space="preserve"> </v>
      </c>
      <c r="Z7" s="619"/>
      <c r="AA7" s="619"/>
      <c r="AB7" s="619"/>
      <c r="AC7" s="20"/>
      <c r="AE7" s="177">
        <f t="shared" ref="AE7:AE16" si="0">IF(P7, 1, 0)</f>
        <v>0</v>
      </c>
      <c r="AF7" s="250">
        <f>IF(AE7=1, 1, 0)</f>
        <v>0</v>
      </c>
      <c r="AG7" s="795">
        <f>SUM(AF7:AF16) * AL7</f>
        <v>0</v>
      </c>
      <c r="AI7" s="108">
        <v>1</v>
      </c>
      <c r="AJ7" s="108">
        <v>10</v>
      </c>
      <c r="AK7" s="108">
        <v>2</v>
      </c>
      <c r="AL7" s="193">
        <f>AK7/AJ7</f>
        <v>0.2</v>
      </c>
    </row>
    <row r="8" spans="2:38" ht="15.45" customHeight="1">
      <c r="B8" s="27"/>
      <c r="C8" s="668"/>
      <c r="D8" s="669"/>
      <c r="E8" s="669"/>
      <c r="F8" s="670"/>
      <c r="G8" s="23"/>
      <c r="H8" s="162"/>
      <c r="I8" s="19"/>
      <c r="J8" s="793"/>
      <c r="K8" s="802"/>
      <c r="L8" s="802"/>
      <c r="M8" s="802"/>
      <c r="N8" s="24"/>
      <c r="O8" s="21" t="s">
        <v>46</v>
      </c>
      <c r="P8" s="37" t="b">
        <v>0</v>
      </c>
      <c r="Q8" s="22"/>
      <c r="R8" s="794"/>
      <c r="S8" s="794"/>
      <c r="T8" s="794"/>
      <c r="U8" s="794"/>
      <c r="V8" s="23"/>
      <c r="W8" s="162"/>
      <c r="X8" s="27"/>
      <c r="Y8" s="619"/>
      <c r="Z8" s="619"/>
      <c r="AA8" s="619"/>
      <c r="AB8" s="619"/>
      <c r="AC8" s="23"/>
      <c r="AD8" s="96"/>
      <c r="AE8" s="117">
        <f t="shared" si="0"/>
        <v>0</v>
      </c>
      <c r="AF8" s="98">
        <f t="shared" ref="AF8:AF16" si="1">IF(AE8=1, 1, 0)</f>
        <v>0</v>
      </c>
      <c r="AG8" s="795"/>
      <c r="AI8" s="108">
        <v>2</v>
      </c>
      <c r="AJ8" s="108">
        <v>3</v>
      </c>
      <c r="AK8" s="179">
        <v>6</v>
      </c>
      <c r="AL8" s="193">
        <f t="shared" ref="AL8:AL10" si="2">AK8/AJ8</f>
        <v>2</v>
      </c>
    </row>
    <row r="9" spans="2:38" ht="15.45" customHeight="1">
      <c r="B9" s="27"/>
      <c r="C9" s="668"/>
      <c r="D9" s="669"/>
      <c r="E9" s="669"/>
      <c r="F9" s="670"/>
      <c r="G9" s="23"/>
      <c r="H9" s="162"/>
      <c r="I9" s="19"/>
      <c r="J9" s="793"/>
      <c r="K9" s="802"/>
      <c r="L9" s="802"/>
      <c r="M9" s="802"/>
      <c r="N9" s="24"/>
      <c r="O9" s="21" t="s">
        <v>47</v>
      </c>
      <c r="P9" s="37" t="b">
        <v>0</v>
      </c>
      <c r="Q9" s="22"/>
      <c r="R9" s="794"/>
      <c r="S9" s="794"/>
      <c r="T9" s="794"/>
      <c r="U9" s="794"/>
      <c r="V9" s="23"/>
      <c r="W9" s="162"/>
      <c r="X9" s="27"/>
      <c r="Y9" s="619"/>
      <c r="Z9" s="619"/>
      <c r="AA9" s="619"/>
      <c r="AB9" s="619"/>
      <c r="AC9" s="23"/>
      <c r="AD9" s="96"/>
      <c r="AE9" s="117">
        <f t="shared" si="0"/>
        <v>0</v>
      </c>
      <c r="AF9" s="98">
        <f t="shared" si="1"/>
        <v>0</v>
      </c>
      <c r="AG9" s="795"/>
      <c r="AI9" s="108">
        <v>3</v>
      </c>
      <c r="AJ9" s="108">
        <v>9</v>
      </c>
      <c r="AK9" s="108">
        <v>4</v>
      </c>
      <c r="AL9" s="193">
        <f t="shared" si="2"/>
        <v>0.44444444444444442</v>
      </c>
    </row>
    <row r="10" spans="2:38" ht="15.45" customHeight="1">
      <c r="B10" s="27"/>
      <c r="C10" s="668"/>
      <c r="D10" s="669"/>
      <c r="E10" s="669"/>
      <c r="F10" s="670"/>
      <c r="G10" s="23"/>
      <c r="H10" s="162"/>
      <c r="I10" s="19"/>
      <c r="J10" s="793"/>
      <c r="K10" s="802"/>
      <c r="L10" s="802"/>
      <c r="M10" s="802"/>
      <c r="N10" s="24"/>
      <c r="O10" s="21" t="s">
        <v>48</v>
      </c>
      <c r="P10" s="37" t="b">
        <v>0</v>
      </c>
      <c r="Q10" s="22"/>
      <c r="R10" s="794"/>
      <c r="S10" s="794"/>
      <c r="T10" s="794"/>
      <c r="U10" s="794"/>
      <c r="V10" s="23"/>
      <c r="W10" s="162"/>
      <c r="X10" s="27"/>
      <c r="Y10" s="619"/>
      <c r="Z10" s="619"/>
      <c r="AA10" s="619"/>
      <c r="AB10" s="619"/>
      <c r="AC10" s="23"/>
      <c r="AD10" s="96"/>
      <c r="AE10" s="117">
        <f t="shared" si="0"/>
        <v>0</v>
      </c>
      <c r="AF10" s="98">
        <f t="shared" si="1"/>
        <v>0</v>
      </c>
      <c r="AG10" s="795"/>
      <c r="AI10" s="108">
        <v>4</v>
      </c>
      <c r="AJ10" s="108">
        <v>4</v>
      </c>
      <c r="AK10" s="108">
        <v>3</v>
      </c>
      <c r="AL10" s="193">
        <f t="shared" si="2"/>
        <v>0.75</v>
      </c>
    </row>
    <row r="11" spans="2:38" ht="15.45" customHeight="1">
      <c r="B11" s="27"/>
      <c r="C11" s="668"/>
      <c r="D11" s="669"/>
      <c r="E11" s="669"/>
      <c r="F11" s="670"/>
      <c r="G11" s="23"/>
      <c r="H11" s="162"/>
      <c r="I11" s="9"/>
      <c r="J11" s="793"/>
      <c r="K11" s="802"/>
      <c r="L11" s="802"/>
      <c r="M11" s="802"/>
      <c r="N11" s="24"/>
      <c r="O11" s="13" t="s">
        <v>49</v>
      </c>
      <c r="P11" s="37" t="b">
        <v>0</v>
      </c>
      <c r="Q11" s="10"/>
      <c r="R11" s="794"/>
      <c r="S11" s="794"/>
      <c r="T11" s="794"/>
      <c r="U11" s="794"/>
      <c r="V11" s="12"/>
      <c r="W11" s="162"/>
      <c r="X11" s="27"/>
      <c r="Y11" s="619"/>
      <c r="Z11" s="619"/>
      <c r="AA11" s="619"/>
      <c r="AB11" s="619"/>
      <c r="AC11" s="23"/>
      <c r="AD11" s="96"/>
      <c r="AE11" s="117">
        <f t="shared" si="0"/>
        <v>0</v>
      </c>
      <c r="AF11" s="98">
        <f t="shared" si="1"/>
        <v>0</v>
      </c>
      <c r="AG11" s="795"/>
      <c r="AI11" s="246" t="s">
        <v>436</v>
      </c>
      <c r="AJ11" s="246">
        <f>SUM(AJ7:AJ10)</f>
        <v>26</v>
      </c>
      <c r="AK11" s="246">
        <f>SUM(AK7:AK10)</f>
        <v>15</v>
      </c>
    </row>
    <row r="12" spans="2:38" ht="15.45" customHeight="1">
      <c r="B12" s="27"/>
      <c r="C12" s="668"/>
      <c r="D12" s="669"/>
      <c r="E12" s="669"/>
      <c r="F12" s="670"/>
      <c r="G12" s="23"/>
      <c r="H12" s="162"/>
      <c r="I12" s="9"/>
      <c r="J12" s="793"/>
      <c r="K12" s="802"/>
      <c r="L12" s="802"/>
      <c r="M12" s="802"/>
      <c r="N12" s="24"/>
      <c r="O12" s="13" t="s">
        <v>50</v>
      </c>
      <c r="P12" s="37" t="b">
        <v>0</v>
      </c>
      <c r="Q12" s="10"/>
      <c r="R12" s="794"/>
      <c r="S12" s="794"/>
      <c r="T12" s="794"/>
      <c r="U12" s="794"/>
      <c r="V12" s="12"/>
      <c r="W12" s="162"/>
      <c r="X12" s="27"/>
      <c r="Y12" s="619"/>
      <c r="Z12" s="619"/>
      <c r="AA12" s="619"/>
      <c r="AB12" s="619"/>
      <c r="AC12" s="23"/>
      <c r="AD12" s="96"/>
      <c r="AE12" s="117">
        <f t="shared" si="0"/>
        <v>0</v>
      </c>
      <c r="AF12" s="98">
        <f t="shared" si="1"/>
        <v>0</v>
      </c>
      <c r="AG12" s="795"/>
      <c r="AI12" s="91"/>
      <c r="AJ12" s="91"/>
      <c r="AK12" s="91"/>
      <c r="AL12" s="91"/>
    </row>
    <row r="13" spans="2:38" ht="15.45" customHeight="1">
      <c r="B13" s="27"/>
      <c r="C13" s="668"/>
      <c r="D13" s="669"/>
      <c r="E13" s="669"/>
      <c r="F13" s="670"/>
      <c r="G13" s="23"/>
      <c r="H13" s="162"/>
      <c r="I13" s="9"/>
      <c r="J13" s="793"/>
      <c r="K13" s="802"/>
      <c r="L13" s="802"/>
      <c r="M13" s="802"/>
      <c r="N13" s="24"/>
      <c r="O13" s="148" t="s">
        <v>371</v>
      </c>
      <c r="P13" s="128" t="b">
        <v>0</v>
      </c>
      <c r="Q13" s="10"/>
      <c r="R13" s="794"/>
      <c r="S13" s="794"/>
      <c r="T13" s="794"/>
      <c r="U13" s="794"/>
      <c r="V13" s="12"/>
      <c r="W13" s="162"/>
      <c r="X13" s="27"/>
      <c r="Y13" s="619"/>
      <c r="Z13" s="619"/>
      <c r="AA13" s="619"/>
      <c r="AB13" s="619"/>
      <c r="AC13" s="23"/>
      <c r="AD13" s="96"/>
      <c r="AE13" s="117">
        <f t="shared" si="0"/>
        <v>0</v>
      </c>
      <c r="AF13" s="98">
        <f t="shared" si="1"/>
        <v>0</v>
      </c>
      <c r="AG13" s="795"/>
      <c r="AI13" s="91"/>
      <c r="AJ13" s="91"/>
      <c r="AK13" s="91"/>
      <c r="AL13" s="91"/>
    </row>
    <row r="14" spans="2:38" ht="15.45" customHeight="1">
      <c r="B14" s="27"/>
      <c r="C14" s="668"/>
      <c r="D14" s="669"/>
      <c r="E14" s="669"/>
      <c r="F14" s="670"/>
      <c r="G14" s="23"/>
      <c r="H14" s="162"/>
      <c r="I14" s="9"/>
      <c r="J14" s="793"/>
      <c r="K14" s="802"/>
      <c r="L14" s="802"/>
      <c r="M14" s="802"/>
      <c r="N14" s="24"/>
      <c r="O14" s="13" t="s">
        <v>51</v>
      </c>
      <c r="P14" s="37" t="b">
        <v>0</v>
      </c>
      <c r="Q14" s="10"/>
      <c r="R14" s="794"/>
      <c r="S14" s="794"/>
      <c r="T14" s="794"/>
      <c r="U14" s="794"/>
      <c r="V14" s="12"/>
      <c r="W14" s="162"/>
      <c r="X14" s="27"/>
      <c r="Y14" s="619"/>
      <c r="Z14" s="619"/>
      <c r="AA14" s="619"/>
      <c r="AB14" s="619"/>
      <c r="AC14" s="23"/>
      <c r="AD14" s="96"/>
      <c r="AE14" s="117">
        <f t="shared" si="0"/>
        <v>0</v>
      </c>
      <c r="AF14" s="98">
        <f t="shared" si="1"/>
        <v>0</v>
      </c>
      <c r="AG14" s="795"/>
      <c r="AI14" s="91"/>
      <c r="AJ14" s="91"/>
      <c r="AK14" s="91"/>
      <c r="AL14" s="91"/>
    </row>
    <row r="15" spans="2:38" ht="15.45" customHeight="1">
      <c r="B15" s="27"/>
      <c r="C15" s="668"/>
      <c r="D15" s="669"/>
      <c r="E15" s="669"/>
      <c r="F15" s="670"/>
      <c r="G15" s="23"/>
      <c r="H15" s="162"/>
      <c r="I15" s="9"/>
      <c r="J15" s="793"/>
      <c r="K15" s="802"/>
      <c r="L15" s="802"/>
      <c r="M15" s="802"/>
      <c r="N15" s="24"/>
      <c r="O15" s="13" t="s">
        <v>52</v>
      </c>
      <c r="P15" s="37" t="b">
        <v>0</v>
      </c>
      <c r="Q15" s="10"/>
      <c r="R15" s="794"/>
      <c r="S15" s="794"/>
      <c r="T15" s="794"/>
      <c r="U15" s="794"/>
      <c r="V15" s="12"/>
      <c r="W15" s="162"/>
      <c r="X15" s="27"/>
      <c r="Y15" s="619"/>
      <c r="Z15" s="619"/>
      <c r="AA15" s="619"/>
      <c r="AB15" s="619"/>
      <c r="AC15" s="23"/>
      <c r="AD15" s="96"/>
      <c r="AE15" s="117">
        <f t="shared" si="0"/>
        <v>0</v>
      </c>
      <c r="AF15" s="98">
        <f t="shared" si="1"/>
        <v>0</v>
      </c>
      <c r="AG15" s="795"/>
      <c r="AI15" s="91"/>
      <c r="AJ15" s="91"/>
      <c r="AK15" s="91"/>
      <c r="AL15" s="91"/>
    </row>
    <row r="16" spans="2:38" ht="17.55" customHeight="1">
      <c r="B16" s="27"/>
      <c r="C16" s="668"/>
      <c r="D16" s="669"/>
      <c r="E16" s="669"/>
      <c r="F16" s="670"/>
      <c r="G16" s="23"/>
      <c r="H16" s="162"/>
      <c r="I16" s="9"/>
      <c r="J16" s="793"/>
      <c r="K16" s="802"/>
      <c r="L16" s="802"/>
      <c r="M16" s="802"/>
      <c r="N16" s="24"/>
      <c r="O16" s="148" t="s">
        <v>1089</v>
      </c>
      <c r="P16" s="150" t="b">
        <v>0</v>
      </c>
      <c r="Q16" s="10"/>
      <c r="R16" s="794"/>
      <c r="S16" s="794"/>
      <c r="T16" s="794"/>
      <c r="U16" s="794"/>
      <c r="V16" s="12"/>
      <c r="W16" s="162"/>
      <c r="X16" s="27"/>
      <c r="Y16" s="619"/>
      <c r="Z16" s="619"/>
      <c r="AA16" s="619"/>
      <c r="AB16" s="619"/>
      <c r="AC16" s="23"/>
      <c r="AD16" s="96"/>
      <c r="AE16" s="117">
        <f t="shared" si="0"/>
        <v>0</v>
      </c>
      <c r="AF16" s="98">
        <f t="shared" si="1"/>
        <v>0</v>
      </c>
      <c r="AG16" s="795"/>
      <c r="AI16" s="91"/>
      <c r="AJ16" s="91"/>
      <c r="AK16" s="91"/>
      <c r="AL16" s="91"/>
    </row>
    <row r="17" spans="2:38" ht="17.55" customHeight="1">
      <c r="B17" s="27"/>
      <c r="C17" s="671"/>
      <c r="D17" s="672"/>
      <c r="E17" s="672"/>
      <c r="F17" s="673"/>
      <c r="G17" s="23"/>
      <c r="H17" s="162"/>
      <c r="I17" s="9"/>
      <c r="J17" s="793"/>
      <c r="K17" s="802"/>
      <c r="L17" s="802"/>
      <c r="M17" s="802"/>
      <c r="N17" s="24"/>
      <c r="O17" s="148" t="s">
        <v>462</v>
      </c>
      <c r="P17" s="128" t="b">
        <v>0</v>
      </c>
      <c r="Q17" s="10"/>
      <c r="R17" s="794"/>
      <c r="S17" s="794"/>
      <c r="T17" s="794"/>
      <c r="U17" s="794"/>
      <c r="V17" s="12"/>
      <c r="W17" s="162"/>
      <c r="X17" s="27"/>
      <c r="Y17" s="619"/>
      <c r="Z17" s="619"/>
      <c r="AA17" s="619"/>
      <c r="AB17" s="619"/>
      <c r="AC17" s="23"/>
      <c r="AD17" s="96"/>
      <c r="AE17" s="106">
        <f>IF(P17, 1, 0)</f>
        <v>0</v>
      </c>
      <c r="AG17" s="795"/>
      <c r="AI17" s="91"/>
      <c r="AJ17" s="91"/>
      <c r="AK17" s="91"/>
      <c r="AL17" s="91"/>
    </row>
    <row r="18" spans="2:38" ht="18" thickBot="1">
      <c r="B18" s="27"/>
      <c r="C18" s="30"/>
      <c r="D18" s="30"/>
      <c r="E18" s="30"/>
      <c r="F18" s="30"/>
      <c r="G18" s="23"/>
      <c r="H18" s="162"/>
      <c r="I18" s="9"/>
      <c r="J18" s="66"/>
      <c r="K18" s="210"/>
      <c r="L18" s="210"/>
      <c r="M18" s="210"/>
      <c r="N18" s="32"/>
      <c r="O18" s="10"/>
      <c r="P18" s="18"/>
      <c r="Q18" s="10"/>
      <c r="R18" s="794"/>
      <c r="S18" s="794"/>
      <c r="T18" s="794"/>
      <c r="U18" s="794"/>
      <c r="V18" s="12"/>
      <c r="W18" s="162"/>
      <c r="X18" s="27"/>
      <c r="Y18" s="22"/>
      <c r="Z18" s="22"/>
      <c r="AA18" s="22"/>
      <c r="AB18" s="22"/>
      <c r="AC18" s="23"/>
      <c r="AD18" s="96"/>
      <c r="AE18" s="123">
        <f>SUM(AE7:AE15)</f>
        <v>0</v>
      </c>
      <c r="AF18" s="123">
        <f>SUM(AF7:AF16)</f>
        <v>0</v>
      </c>
      <c r="AG18" s="113"/>
      <c r="AI18" s="91"/>
      <c r="AJ18" s="91"/>
      <c r="AK18" s="91"/>
      <c r="AL18" s="91"/>
    </row>
    <row r="19" spans="2:38" ht="18.45" customHeight="1" thickTop="1">
      <c r="B19" s="27"/>
      <c r="C19" s="33"/>
      <c r="D19" s="33"/>
      <c r="E19" s="33"/>
      <c r="F19" s="33"/>
      <c r="G19" s="23"/>
      <c r="H19" s="162"/>
      <c r="I19" s="9"/>
      <c r="J19" s="28" t="s">
        <v>18</v>
      </c>
      <c r="K19" s="223" t="s">
        <v>53</v>
      </c>
      <c r="L19" s="224"/>
      <c r="M19" s="224"/>
      <c r="N19" s="10"/>
      <c r="O19" s="10"/>
      <c r="P19" s="18"/>
      <c r="Q19" s="10"/>
      <c r="R19" s="10"/>
      <c r="S19" s="10"/>
      <c r="T19" s="10"/>
      <c r="U19" s="10"/>
      <c r="V19" s="12"/>
      <c r="W19" s="162"/>
      <c r="X19" s="27"/>
      <c r="Y19" s="784" t="str">
        <f>IF(AE24,Feedback_List!B20," ")</f>
        <v xml:space="preserve"> </v>
      </c>
      <c r="Z19" s="785"/>
      <c r="AA19" s="785"/>
      <c r="AB19" s="786"/>
      <c r="AC19" s="23"/>
      <c r="AD19" s="96"/>
      <c r="AI19" s="91"/>
      <c r="AJ19" s="91"/>
      <c r="AK19" s="91"/>
      <c r="AL19" s="91"/>
    </row>
    <row r="20" spans="2:38">
      <c r="B20" s="27"/>
      <c r="C20" s="33"/>
      <c r="D20" s="33"/>
      <c r="E20" s="33"/>
      <c r="F20" s="33"/>
      <c r="G20" s="23"/>
      <c r="H20" s="162"/>
      <c r="I20" s="9"/>
      <c r="J20" s="65"/>
      <c r="K20" s="224"/>
      <c r="L20" s="224"/>
      <c r="M20" s="224"/>
      <c r="N20" s="10"/>
      <c r="O20" s="10"/>
      <c r="P20" s="18"/>
      <c r="Q20" s="10"/>
      <c r="R20" s="10"/>
      <c r="S20" s="10"/>
      <c r="T20" s="10"/>
      <c r="U20" s="10"/>
      <c r="V20" s="12"/>
      <c r="W20" s="162"/>
      <c r="X20" s="27"/>
      <c r="Y20" s="787"/>
      <c r="Z20" s="788"/>
      <c r="AA20" s="788"/>
      <c r="AB20" s="789"/>
      <c r="AC20" s="23"/>
      <c r="AD20" s="96"/>
    </row>
    <row r="21" spans="2:38" ht="23.55" customHeight="1">
      <c r="B21" s="27"/>
      <c r="C21" s="665" t="s">
        <v>62</v>
      </c>
      <c r="D21" s="666"/>
      <c r="E21" s="666"/>
      <c r="F21" s="667"/>
      <c r="G21" s="23"/>
      <c r="H21" s="162"/>
      <c r="I21" s="9"/>
      <c r="J21" s="742">
        <v>2.1</v>
      </c>
      <c r="K21" s="796" t="s">
        <v>1028</v>
      </c>
      <c r="L21" s="796"/>
      <c r="M21" s="796"/>
      <c r="N21" s="24"/>
      <c r="O21" s="34" t="s">
        <v>1090</v>
      </c>
      <c r="P21" s="37" t="b">
        <v>0</v>
      </c>
      <c r="Q21" s="10"/>
      <c r="R21" s="778" t="s">
        <v>60</v>
      </c>
      <c r="S21" s="778"/>
      <c r="T21" s="778"/>
      <c r="U21" s="778"/>
      <c r="V21" s="12"/>
      <c r="W21" s="162"/>
      <c r="X21" s="27"/>
      <c r="Y21" s="787"/>
      <c r="Z21" s="788"/>
      <c r="AA21" s="788"/>
      <c r="AB21" s="789"/>
      <c r="AC21" s="23"/>
      <c r="AD21" s="184"/>
      <c r="AE21" s="122">
        <f>IF(P21, 1, 0)</f>
        <v>0</v>
      </c>
      <c r="AF21" s="115">
        <f>IF(AE21,1,0)</f>
        <v>0</v>
      </c>
      <c r="AG21" s="779">
        <f>SUM(AF21:AF24) * AL8</f>
        <v>0</v>
      </c>
    </row>
    <row r="22" spans="2:38" ht="37.049999999999997" customHeight="1">
      <c r="B22" s="27"/>
      <c r="C22" s="668"/>
      <c r="D22" s="669"/>
      <c r="E22" s="669"/>
      <c r="F22" s="670"/>
      <c r="G22" s="23"/>
      <c r="H22" s="162"/>
      <c r="I22" s="9"/>
      <c r="J22" s="663"/>
      <c r="K22" s="796"/>
      <c r="L22" s="796"/>
      <c r="M22" s="796"/>
      <c r="N22" s="24"/>
      <c r="O22" s="173" t="s">
        <v>917</v>
      </c>
      <c r="P22" s="37" t="b">
        <v>0</v>
      </c>
      <c r="Q22" s="10"/>
      <c r="R22" s="778"/>
      <c r="S22" s="778"/>
      <c r="T22" s="778"/>
      <c r="U22" s="778"/>
      <c r="V22" s="12"/>
      <c r="W22" s="162"/>
      <c r="X22" s="27"/>
      <c r="Y22" s="787"/>
      <c r="Z22" s="788"/>
      <c r="AA22" s="788"/>
      <c r="AB22" s="789"/>
      <c r="AC22" s="23"/>
      <c r="AD22" s="184"/>
      <c r="AE22" s="117">
        <f t="shared" ref="AE22:AE24" si="3">IF(P22, 1, 0)</f>
        <v>0</v>
      </c>
      <c r="AF22" s="116">
        <f>IF(AE22,1,0)</f>
        <v>0</v>
      </c>
      <c r="AG22" s="780"/>
    </row>
    <row r="23" spans="2:38" ht="23.55" customHeight="1">
      <c r="B23" s="27"/>
      <c r="C23" s="668"/>
      <c r="D23" s="669"/>
      <c r="E23" s="669"/>
      <c r="F23" s="670"/>
      <c r="G23" s="23"/>
      <c r="H23" s="162"/>
      <c r="I23" s="9"/>
      <c r="J23" s="663"/>
      <c r="K23" s="796"/>
      <c r="L23" s="796"/>
      <c r="M23" s="796"/>
      <c r="N23" s="24"/>
      <c r="O23" s="34" t="s">
        <v>1039</v>
      </c>
      <c r="P23" s="37" t="b">
        <v>0</v>
      </c>
      <c r="Q23" s="10"/>
      <c r="R23" s="778"/>
      <c r="S23" s="778"/>
      <c r="T23" s="778"/>
      <c r="U23" s="778"/>
      <c r="V23" s="12"/>
      <c r="W23" s="162"/>
      <c r="X23" s="27"/>
      <c r="Y23" s="787"/>
      <c r="Z23" s="788"/>
      <c r="AA23" s="788"/>
      <c r="AB23" s="789"/>
      <c r="AC23" s="23"/>
      <c r="AD23" s="184"/>
      <c r="AE23" s="117">
        <f t="shared" si="3"/>
        <v>0</v>
      </c>
      <c r="AF23" s="116">
        <f>IF(AE23,1,0)</f>
        <v>0</v>
      </c>
      <c r="AG23" s="780"/>
    </row>
    <row r="24" spans="2:38" ht="23.55" customHeight="1">
      <c r="B24" s="27"/>
      <c r="C24" s="671"/>
      <c r="D24" s="672"/>
      <c r="E24" s="672"/>
      <c r="F24" s="673"/>
      <c r="G24" s="23"/>
      <c r="H24" s="162"/>
      <c r="I24" s="9"/>
      <c r="J24" s="664"/>
      <c r="K24" s="796"/>
      <c r="L24" s="796"/>
      <c r="M24" s="796"/>
      <c r="N24" s="24"/>
      <c r="O24" s="34" t="s">
        <v>918</v>
      </c>
      <c r="P24" s="37" t="b">
        <v>0</v>
      </c>
      <c r="Q24" s="10"/>
      <c r="R24" s="778"/>
      <c r="S24" s="778"/>
      <c r="T24" s="778"/>
      <c r="U24" s="778"/>
      <c r="V24" s="12"/>
      <c r="W24" s="162"/>
      <c r="X24" s="27"/>
      <c r="Y24" s="790"/>
      <c r="Z24" s="791"/>
      <c r="AA24" s="791"/>
      <c r="AB24" s="792"/>
      <c r="AC24" s="23"/>
      <c r="AD24" s="184"/>
      <c r="AE24" s="106">
        <f t="shared" si="3"/>
        <v>0</v>
      </c>
      <c r="AF24" s="107"/>
      <c r="AG24" s="781"/>
    </row>
    <row r="25" spans="2:38" ht="18" thickBot="1">
      <c r="B25" s="27"/>
      <c r="C25" s="30"/>
      <c r="D25" s="30"/>
      <c r="E25" s="30"/>
      <c r="F25" s="30"/>
      <c r="G25" s="23"/>
      <c r="H25" s="162"/>
      <c r="I25" s="9"/>
      <c r="J25" s="66"/>
      <c r="K25" s="210"/>
      <c r="L25" s="210"/>
      <c r="M25" s="210"/>
      <c r="N25" s="32"/>
      <c r="O25" s="10"/>
      <c r="P25" s="18"/>
      <c r="Q25" s="10"/>
      <c r="R25" s="10"/>
      <c r="S25" s="10"/>
      <c r="T25" s="10"/>
      <c r="U25" s="10"/>
      <c r="V25" s="12"/>
      <c r="W25" s="162"/>
      <c r="X25" s="27"/>
      <c r="Y25" s="62"/>
      <c r="Z25" s="62"/>
      <c r="AA25" s="62"/>
      <c r="AB25" s="62"/>
      <c r="AC25" s="23"/>
      <c r="AD25" s="96"/>
      <c r="AE25" s="123">
        <f>SUM(AE21:AE24)</f>
        <v>0</v>
      </c>
      <c r="AF25" s="123">
        <f>SUM(AF21:AF24)</f>
        <v>0</v>
      </c>
      <c r="AG25" s="113"/>
    </row>
    <row r="26" spans="2:38" ht="18.45" customHeight="1" thickTop="1">
      <c r="B26" s="27"/>
      <c r="C26" s="33"/>
      <c r="D26" s="33"/>
      <c r="E26" s="33"/>
      <c r="F26" s="33"/>
      <c r="G26" s="23"/>
      <c r="H26" s="162"/>
      <c r="I26" s="9"/>
      <c r="J26" s="28" t="s">
        <v>29</v>
      </c>
      <c r="K26" s="223" t="s">
        <v>54</v>
      </c>
      <c r="L26" s="210"/>
      <c r="M26" s="210"/>
      <c r="N26" s="32"/>
      <c r="O26" s="10"/>
      <c r="P26" s="18"/>
      <c r="Q26" s="10"/>
      <c r="R26" s="10"/>
      <c r="S26" s="10"/>
      <c r="T26" s="10"/>
      <c r="U26" s="10"/>
      <c r="V26" s="12"/>
      <c r="W26" s="162"/>
      <c r="X26" s="27"/>
      <c r="Y26" s="784" t="str">
        <f>IF(AE31,Feedback_List!B22, " ")</f>
        <v xml:space="preserve"> </v>
      </c>
      <c r="Z26" s="785"/>
      <c r="AA26" s="785"/>
      <c r="AB26" s="786"/>
      <c r="AC26" s="23"/>
      <c r="AD26" s="96"/>
    </row>
    <row r="27" spans="2:38">
      <c r="B27" s="19"/>
      <c r="C27" s="33"/>
      <c r="D27" s="33"/>
      <c r="E27" s="33"/>
      <c r="F27" s="33"/>
      <c r="G27" s="20"/>
      <c r="H27" s="162"/>
      <c r="I27" s="9"/>
      <c r="J27" s="66"/>
      <c r="K27" s="210"/>
      <c r="L27" s="210"/>
      <c r="M27" s="210"/>
      <c r="N27" s="32"/>
      <c r="O27" s="10"/>
      <c r="P27" s="18"/>
      <c r="Q27" s="10"/>
      <c r="R27" s="10"/>
      <c r="S27" s="10"/>
      <c r="T27" s="10"/>
      <c r="U27" s="10"/>
      <c r="V27" s="12"/>
      <c r="W27" s="162"/>
      <c r="X27" s="19"/>
      <c r="Y27" s="787"/>
      <c r="Z27" s="788"/>
      <c r="AA27" s="788"/>
      <c r="AB27" s="789"/>
      <c r="AC27" s="20"/>
    </row>
    <row r="28" spans="2:38" ht="18.45" customHeight="1">
      <c r="B28" s="19"/>
      <c r="C28" s="665" t="s">
        <v>63</v>
      </c>
      <c r="D28" s="666"/>
      <c r="E28" s="666"/>
      <c r="F28" s="667"/>
      <c r="G28" s="20"/>
      <c r="H28" s="162"/>
      <c r="I28" s="9"/>
      <c r="J28" s="742">
        <v>3.1</v>
      </c>
      <c r="K28" s="720" t="s">
        <v>1091</v>
      </c>
      <c r="L28" s="720"/>
      <c r="M28" s="720"/>
      <c r="N28" s="24"/>
      <c r="O28" s="36" t="s">
        <v>179</v>
      </c>
      <c r="P28" s="37" t="b">
        <v>0</v>
      </c>
      <c r="Q28" s="10"/>
      <c r="R28" s="778" t="s">
        <v>60</v>
      </c>
      <c r="S28" s="778"/>
      <c r="T28" s="778"/>
      <c r="U28" s="778"/>
      <c r="V28" s="12"/>
      <c r="W28" s="162"/>
      <c r="X28" s="19"/>
      <c r="Y28" s="787"/>
      <c r="Z28" s="788"/>
      <c r="AA28" s="788"/>
      <c r="AB28" s="789"/>
      <c r="AC28" s="20"/>
      <c r="AE28" s="177">
        <f>IF(P28,1,0)</f>
        <v>0</v>
      </c>
      <c r="AF28" s="178">
        <f>IF(AE28,5,IF(AE29,3,IF(AE30,2,IF(AE31,0,0))))</f>
        <v>0</v>
      </c>
      <c r="AG28" s="782">
        <f>SUM(AF28:AF36) * AL9</f>
        <v>0</v>
      </c>
    </row>
    <row r="29" spans="2:38" ht="18.45" customHeight="1">
      <c r="B29" s="19"/>
      <c r="C29" s="668"/>
      <c r="D29" s="669"/>
      <c r="E29" s="669"/>
      <c r="F29" s="670"/>
      <c r="G29" s="20"/>
      <c r="H29" s="162"/>
      <c r="I29" s="9"/>
      <c r="J29" s="663"/>
      <c r="K29" s="720"/>
      <c r="L29" s="720"/>
      <c r="M29" s="720"/>
      <c r="N29" s="24"/>
      <c r="O29" s="36" t="s">
        <v>317</v>
      </c>
      <c r="P29" s="37" t="b">
        <v>0</v>
      </c>
      <c r="Q29" s="10"/>
      <c r="R29" s="778"/>
      <c r="S29" s="778"/>
      <c r="T29" s="778"/>
      <c r="U29" s="778"/>
      <c r="V29" s="12"/>
      <c r="W29" s="162"/>
      <c r="X29" s="19"/>
      <c r="Y29" s="787"/>
      <c r="Z29" s="788"/>
      <c r="AA29" s="788"/>
      <c r="AB29" s="789"/>
      <c r="AC29" s="20"/>
      <c r="AE29" s="117">
        <f t="shared" ref="AE29:AE30" si="4">IF(P29,1,0)</f>
        <v>0</v>
      </c>
      <c r="AF29" s="116"/>
      <c r="AG29" s="783"/>
    </row>
    <row r="30" spans="2:38" ht="18.45" customHeight="1">
      <c r="B30" s="19"/>
      <c r="C30" s="668"/>
      <c r="D30" s="669"/>
      <c r="E30" s="669"/>
      <c r="F30" s="670"/>
      <c r="G30" s="20"/>
      <c r="H30" s="162"/>
      <c r="I30" s="9"/>
      <c r="J30" s="663"/>
      <c r="K30" s="720"/>
      <c r="L30" s="720"/>
      <c r="M30" s="720"/>
      <c r="N30" s="24"/>
      <c r="O30" s="36" t="s">
        <v>318</v>
      </c>
      <c r="P30" s="37" t="b">
        <v>0</v>
      </c>
      <c r="Q30" s="10"/>
      <c r="R30" s="778"/>
      <c r="S30" s="778"/>
      <c r="T30" s="778"/>
      <c r="U30" s="778"/>
      <c r="V30" s="12"/>
      <c r="W30" s="162"/>
      <c r="X30" s="19"/>
      <c r="Y30" s="787"/>
      <c r="Z30" s="788"/>
      <c r="AA30" s="788"/>
      <c r="AB30" s="789"/>
      <c r="AC30" s="20"/>
      <c r="AE30" s="117">
        <f t="shared" si="4"/>
        <v>0</v>
      </c>
      <c r="AF30" s="116"/>
      <c r="AG30" s="783"/>
    </row>
    <row r="31" spans="2:38" ht="18.45" customHeight="1">
      <c r="B31" s="19"/>
      <c r="C31" s="668"/>
      <c r="D31" s="669"/>
      <c r="E31" s="669"/>
      <c r="F31" s="670"/>
      <c r="G31" s="20"/>
      <c r="H31" s="162"/>
      <c r="I31" s="9"/>
      <c r="J31" s="664"/>
      <c r="K31" s="720"/>
      <c r="L31" s="720"/>
      <c r="M31" s="720"/>
      <c r="N31" s="24"/>
      <c r="O31" s="36" t="s">
        <v>333</v>
      </c>
      <c r="P31" s="37" t="b">
        <v>0</v>
      </c>
      <c r="Q31" s="10"/>
      <c r="R31" s="778"/>
      <c r="S31" s="778"/>
      <c r="T31" s="778"/>
      <c r="U31" s="778"/>
      <c r="V31" s="12"/>
      <c r="W31" s="162"/>
      <c r="X31" s="19"/>
      <c r="Y31" s="790"/>
      <c r="Z31" s="791"/>
      <c r="AA31" s="791"/>
      <c r="AB31" s="792"/>
      <c r="AC31" s="20"/>
      <c r="AE31" s="117">
        <f>IF(P31,1,0)</f>
        <v>0</v>
      </c>
      <c r="AF31" s="116"/>
      <c r="AG31" s="783"/>
    </row>
    <row r="32" spans="2:38">
      <c r="B32" s="19"/>
      <c r="C32" s="668"/>
      <c r="D32" s="669"/>
      <c r="E32" s="669"/>
      <c r="F32" s="670"/>
      <c r="G32" s="20"/>
      <c r="H32" s="162"/>
      <c r="I32" s="9"/>
      <c r="J32" s="65"/>
      <c r="K32" s="224"/>
      <c r="L32" s="224"/>
      <c r="M32" s="224"/>
      <c r="N32" s="10"/>
      <c r="O32" s="10"/>
      <c r="P32" s="18"/>
      <c r="Q32" s="10"/>
      <c r="R32" s="10"/>
      <c r="S32" s="10"/>
      <c r="T32" s="10"/>
      <c r="U32" s="10"/>
      <c r="V32" s="12"/>
      <c r="W32" s="162"/>
      <c r="X32" s="19"/>
      <c r="Y32" s="328"/>
      <c r="Z32" s="130"/>
      <c r="AA32" s="130"/>
      <c r="AB32" s="130"/>
      <c r="AC32" s="20"/>
      <c r="AE32" s="117"/>
      <c r="AF32" s="116"/>
      <c r="AG32" s="783"/>
    </row>
    <row r="33" spans="2:33" ht="49.95" customHeight="1">
      <c r="B33" s="19"/>
      <c r="C33" s="668"/>
      <c r="D33" s="669"/>
      <c r="E33" s="669"/>
      <c r="F33" s="670"/>
      <c r="G33" s="20"/>
      <c r="H33" s="162"/>
      <c r="I33" s="9"/>
      <c r="J33" s="662">
        <v>3.2</v>
      </c>
      <c r="K33" s="653" t="s">
        <v>1092</v>
      </c>
      <c r="L33" s="654"/>
      <c r="M33" s="655"/>
      <c r="N33" s="24"/>
      <c r="O33" s="173" t="s">
        <v>919</v>
      </c>
      <c r="P33" s="37" t="b">
        <v>0</v>
      </c>
      <c r="Q33" s="10"/>
      <c r="R33" s="769" t="s">
        <v>60</v>
      </c>
      <c r="S33" s="770"/>
      <c r="T33" s="770"/>
      <c r="U33" s="771"/>
      <c r="V33" s="12"/>
      <c r="W33" s="162"/>
      <c r="X33" s="19"/>
      <c r="Y33" s="784" t="str">
        <f>IF(AE37,Feedback_List!B23, " ")</f>
        <v xml:space="preserve"> </v>
      </c>
      <c r="Z33" s="785"/>
      <c r="AA33" s="785"/>
      <c r="AB33" s="786"/>
      <c r="AC33" s="20"/>
      <c r="AE33" s="117">
        <f>IF(P33,1,0)</f>
        <v>0</v>
      </c>
      <c r="AF33" s="116">
        <f>IF(AE33,1,0)</f>
        <v>0</v>
      </c>
      <c r="AG33" s="783"/>
    </row>
    <row r="34" spans="2:33" ht="49.95" customHeight="1">
      <c r="B34" s="19"/>
      <c r="C34" s="668"/>
      <c r="D34" s="669"/>
      <c r="E34" s="669"/>
      <c r="F34" s="670"/>
      <c r="G34" s="20"/>
      <c r="H34" s="162"/>
      <c r="I34" s="9"/>
      <c r="J34" s="663"/>
      <c r="K34" s="656"/>
      <c r="L34" s="657"/>
      <c r="M34" s="658"/>
      <c r="N34" s="24"/>
      <c r="O34" s="173" t="s">
        <v>920</v>
      </c>
      <c r="P34" s="37" t="b">
        <v>0</v>
      </c>
      <c r="Q34" s="10"/>
      <c r="R34" s="772"/>
      <c r="S34" s="773"/>
      <c r="T34" s="773"/>
      <c r="U34" s="774"/>
      <c r="V34" s="12"/>
      <c r="W34" s="162"/>
      <c r="X34" s="19"/>
      <c r="Y34" s="787"/>
      <c r="Z34" s="788"/>
      <c r="AA34" s="788"/>
      <c r="AB34" s="789"/>
      <c r="AC34" s="20"/>
      <c r="AE34" s="117">
        <f>IF(P34,1,0)</f>
        <v>0</v>
      </c>
      <c r="AF34" s="116">
        <f t="shared" ref="AF34:AF35" si="5">IF(AE34,1,0)</f>
        <v>0</v>
      </c>
      <c r="AG34" s="783"/>
    </row>
    <row r="35" spans="2:33" ht="49.95" customHeight="1">
      <c r="B35" s="19"/>
      <c r="C35" s="668"/>
      <c r="D35" s="669"/>
      <c r="E35" s="669"/>
      <c r="F35" s="670"/>
      <c r="G35" s="20"/>
      <c r="H35" s="162"/>
      <c r="I35" s="9"/>
      <c r="J35" s="663"/>
      <c r="K35" s="656"/>
      <c r="L35" s="657"/>
      <c r="M35" s="658"/>
      <c r="N35" s="24"/>
      <c r="O35" s="173" t="s">
        <v>1088</v>
      </c>
      <c r="P35" s="547" t="b">
        <v>0</v>
      </c>
      <c r="Q35" s="10"/>
      <c r="R35" s="772"/>
      <c r="S35" s="773"/>
      <c r="T35" s="773"/>
      <c r="U35" s="774"/>
      <c r="V35" s="12"/>
      <c r="W35" s="162"/>
      <c r="X35" s="19"/>
      <c r="Y35" s="787"/>
      <c r="Z35" s="788"/>
      <c r="AA35" s="788"/>
      <c r="AB35" s="789"/>
      <c r="AC35" s="20"/>
      <c r="AE35" s="117">
        <f>IF(P35,1,0)</f>
        <v>0</v>
      </c>
      <c r="AF35" s="116">
        <f t="shared" si="5"/>
        <v>0</v>
      </c>
      <c r="AG35" s="783"/>
    </row>
    <row r="36" spans="2:33" ht="49.95" customHeight="1">
      <c r="B36" s="38"/>
      <c r="C36" s="668"/>
      <c r="D36" s="669"/>
      <c r="E36" s="669"/>
      <c r="F36" s="670"/>
      <c r="G36" s="39"/>
      <c r="H36" s="162"/>
      <c r="I36" s="9"/>
      <c r="J36" s="663"/>
      <c r="K36" s="656"/>
      <c r="L36" s="657"/>
      <c r="M36" s="658"/>
      <c r="N36" s="24"/>
      <c r="O36" s="345" t="s">
        <v>1040</v>
      </c>
      <c r="P36" s="128" t="b">
        <v>0</v>
      </c>
      <c r="Q36" s="550"/>
      <c r="R36" s="772"/>
      <c r="S36" s="773"/>
      <c r="T36" s="773"/>
      <c r="U36" s="774"/>
      <c r="V36" s="12"/>
      <c r="W36" s="162"/>
      <c r="X36" s="38"/>
      <c r="Y36" s="787"/>
      <c r="Z36" s="788"/>
      <c r="AA36" s="788"/>
      <c r="AB36" s="789"/>
      <c r="AC36" s="39"/>
      <c r="AD36" s="97"/>
      <c r="AE36" s="117">
        <f t="shared" ref="AE36" si="6">IF(P36,1,0)</f>
        <v>0</v>
      </c>
      <c r="AF36" s="116">
        <f>IF(AE36,1,0)</f>
        <v>0</v>
      </c>
      <c r="AG36" s="783"/>
    </row>
    <row r="37" spans="2:33" ht="18" customHeight="1">
      <c r="B37" s="38"/>
      <c r="C37" s="671"/>
      <c r="D37" s="672"/>
      <c r="E37" s="672"/>
      <c r="F37" s="673"/>
      <c r="G37" s="39"/>
      <c r="H37" s="162"/>
      <c r="I37" s="9"/>
      <c r="J37" s="664"/>
      <c r="K37" s="659"/>
      <c r="L37" s="660"/>
      <c r="M37" s="661"/>
      <c r="N37" s="10"/>
      <c r="O37" s="173" t="s">
        <v>921</v>
      </c>
      <c r="P37" s="548" t="b">
        <v>0</v>
      </c>
      <c r="Q37" s="10"/>
      <c r="R37" s="775"/>
      <c r="S37" s="776"/>
      <c r="T37" s="776"/>
      <c r="U37" s="777"/>
      <c r="V37" s="12"/>
      <c r="W37" s="162"/>
      <c r="X37" s="38"/>
      <c r="Y37" s="787"/>
      <c r="Z37" s="788"/>
      <c r="AA37" s="788"/>
      <c r="AB37" s="789"/>
      <c r="AC37" s="39"/>
      <c r="AD37" s="97"/>
      <c r="AE37" s="106">
        <f>IF(P37,1,0)</f>
        <v>0</v>
      </c>
      <c r="AF37" s="549"/>
      <c r="AG37" s="549"/>
    </row>
    <row r="38" spans="2:33" ht="18" thickBot="1">
      <c r="B38" s="38"/>
      <c r="C38" s="35"/>
      <c r="D38" s="35"/>
      <c r="E38" s="35"/>
      <c r="F38" s="35"/>
      <c r="G38" s="39"/>
      <c r="H38" s="162"/>
      <c r="I38" s="9"/>
      <c r="J38" s="65"/>
      <c r="K38" s="224"/>
      <c r="L38" s="224"/>
      <c r="M38" s="224"/>
      <c r="N38" s="10"/>
      <c r="O38" s="10"/>
      <c r="P38" s="18"/>
      <c r="Q38" s="10"/>
      <c r="R38" s="10"/>
      <c r="S38" s="10"/>
      <c r="T38" s="10"/>
      <c r="U38" s="10"/>
      <c r="V38" s="12"/>
      <c r="W38" s="162"/>
      <c r="X38" s="38"/>
      <c r="Y38" s="787"/>
      <c r="Z38" s="788"/>
      <c r="AA38" s="788"/>
      <c r="AB38" s="789"/>
      <c r="AC38" s="39"/>
      <c r="AD38" s="97"/>
      <c r="AE38" s="123">
        <f>SUM(AE28:AE37)</f>
        <v>0</v>
      </c>
      <c r="AF38" s="123">
        <f>SUM(AF28:AF36)</f>
        <v>0</v>
      </c>
      <c r="AG38" s="113"/>
    </row>
    <row r="39" spans="2:33" ht="18.45" customHeight="1" thickTop="1">
      <c r="B39" s="38"/>
      <c r="C39" s="33"/>
      <c r="D39" s="33"/>
      <c r="E39" s="33"/>
      <c r="F39" s="33"/>
      <c r="G39" s="39"/>
      <c r="H39" s="162"/>
      <c r="I39" s="9"/>
      <c r="J39" s="28" t="s">
        <v>30</v>
      </c>
      <c r="K39" s="223" t="s">
        <v>56</v>
      </c>
      <c r="L39" s="224"/>
      <c r="M39" s="224"/>
      <c r="N39" s="10"/>
      <c r="O39" s="10"/>
      <c r="P39" s="18"/>
      <c r="Q39" s="10"/>
      <c r="R39" s="10"/>
      <c r="S39" s="10"/>
      <c r="T39" s="10"/>
      <c r="U39" s="10"/>
      <c r="V39" s="12"/>
      <c r="W39" s="162"/>
      <c r="X39" s="38"/>
      <c r="Y39" s="790"/>
      <c r="Z39" s="791"/>
      <c r="AA39" s="791"/>
      <c r="AB39" s="792"/>
      <c r="AC39" s="39"/>
      <c r="AD39" s="97"/>
    </row>
    <row r="40" spans="2:33">
      <c r="B40" s="38"/>
      <c r="C40" s="33"/>
      <c r="D40" s="33"/>
      <c r="E40" s="33"/>
      <c r="F40" s="33"/>
      <c r="G40" s="39"/>
      <c r="H40" s="162"/>
      <c r="I40" s="9"/>
      <c r="J40" s="65"/>
      <c r="K40" s="224"/>
      <c r="L40" s="224"/>
      <c r="M40" s="224"/>
      <c r="N40" s="10"/>
      <c r="O40" s="10"/>
      <c r="P40" s="18"/>
      <c r="Q40" s="10"/>
      <c r="R40" s="10"/>
      <c r="S40" s="10"/>
      <c r="T40" s="10"/>
      <c r="U40" s="10"/>
      <c r="V40" s="12"/>
      <c r="W40" s="162"/>
      <c r="X40" s="38"/>
      <c r="Y40" s="62"/>
      <c r="Z40" s="62"/>
      <c r="AA40" s="62"/>
      <c r="AB40" s="62"/>
      <c r="AC40" s="39"/>
      <c r="AD40" s="97"/>
    </row>
    <row r="41" spans="2:33" ht="31.95" customHeight="1">
      <c r="B41" s="19"/>
      <c r="C41" s="665" t="s">
        <v>1120</v>
      </c>
      <c r="D41" s="666"/>
      <c r="E41" s="666"/>
      <c r="F41" s="667"/>
      <c r="G41" s="20"/>
      <c r="H41" s="162"/>
      <c r="I41" s="9"/>
      <c r="J41" s="742">
        <v>4.0999999999999996</v>
      </c>
      <c r="K41" s="743" t="s">
        <v>815</v>
      </c>
      <c r="L41" s="744"/>
      <c r="M41" s="745"/>
      <c r="N41" s="24"/>
      <c r="O41" s="173" t="s">
        <v>335</v>
      </c>
      <c r="P41" s="442"/>
      <c r="Q41" s="10"/>
      <c r="R41" s="799" t="s">
        <v>60</v>
      </c>
      <c r="S41" s="800"/>
      <c r="T41" s="800"/>
      <c r="U41" s="801"/>
      <c r="V41" s="12"/>
      <c r="W41" s="162"/>
      <c r="X41" s="19"/>
      <c r="Y41" s="784" t="str">
        <f>IF(AE45=1, Feedback_List!B25, "")</f>
        <v/>
      </c>
      <c r="Z41" s="785"/>
      <c r="AA41" s="785"/>
      <c r="AB41" s="786"/>
      <c r="AC41" s="20"/>
      <c r="AE41" s="177">
        <f>IF(ISNUMBER(P41),1,0)</f>
        <v>0</v>
      </c>
      <c r="AF41" s="178">
        <f>IF(AE41,1,0)</f>
        <v>0</v>
      </c>
      <c r="AG41" s="779">
        <f>SUM(AF41:AF49) * AL10</f>
        <v>0</v>
      </c>
    </row>
    <row r="42" spans="2:33" ht="30">
      <c r="B42" s="38"/>
      <c r="C42" s="668"/>
      <c r="D42" s="669"/>
      <c r="E42" s="669"/>
      <c r="F42" s="670"/>
      <c r="G42" s="39"/>
      <c r="H42" s="162"/>
      <c r="I42" s="9"/>
      <c r="J42" s="663"/>
      <c r="K42" s="713"/>
      <c r="L42" s="714"/>
      <c r="M42" s="715"/>
      <c r="N42" s="24"/>
      <c r="O42" s="173" t="s">
        <v>1121</v>
      </c>
      <c r="P42" s="442"/>
      <c r="Q42" s="10"/>
      <c r="R42" s="772"/>
      <c r="S42" s="773"/>
      <c r="T42" s="773"/>
      <c r="U42" s="774"/>
      <c r="V42" s="12"/>
      <c r="W42" s="162"/>
      <c r="X42" s="38"/>
      <c r="Y42" s="787"/>
      <c r="Z42" s="788"/>
      <c r="AA42" s="788"/>
      <c r="AB42" s="789"/>
      <c r="AC42" s="39"/>
      <c r="AD42" s="97"/>
      <c r="AE42" s="117">
        <f t="shared" ref="AE42:AE43" si="7">IF(ISNUMBER(P42),1,0)</f>
        <v>0</v>
      </c>
      <c r="AF42" s="116">
        <f t="shared" ref="AF42:AF44" si="8">IF(AE42,1,0)</f>
        <v>0</v>
      </c>
      <c r="AG42" s="780"/>
    </row>
    <row r="43" spans="2:33" ht="30">
      <c r="B43" s="38"/>
      <c r="C43" s="668"/>
      <c r="D43" s="669"/>
      <c r="E43" s="669"/>
      <c r="F43" s="670"/>
      <c r="G43" s="39"/>
      <c r="H43" s="162"/>
      <c r="I43" s="9"/>
      <c r="J43" s="663"/>
      <c r="K43" s="713"/>
      <c r="L43" s="714"/>
      <c r="M43" s="715"/>
      <c r="N43" s="24"/>
      <c r="O43" s="173" t="s">
        <v>336</v>
      </c>
      <c r="P43" s="442"/>
      <c r="Q43" s="10"/>
      <c r="R43" s="772"/>
      <c r="S43" s="773"/>
      <c r="T43" s="773"/>
      <c r="U43" s="774"/>
      <c r="V43" s="12"/>
      <c r="W43" s="162"/>
      <c r="X43" s="38"/>
      <c r="Y43" s="787"/>
      <c r="Z43" s="788"/>
      <c r="AA43" s="788"/>
      <c r="AB43" s="789"/>
      <c r="AC43" s="39"/>
      <c r="AD43" s="97"/>
      <c r="AE43" s="117">
        <f t="shared" si="7"/>
        <v>0</v>
      </c>
      <c r="AF43" s="116">
        <f t="shared" si="8"/>
        <v>0</v>
      </c>
      <c r="AG43" s="780"/>
    </row>
    <row r="44" spans="2:33" ht="30">
      <c r="B44" s="38"/>
      <c r="C44" s="668"/>
      <c r="D44" s="669"/>
      <c r="E44" s="669"/>
      <c r="F44" s="670"/>
      <c r="G44" s="39"/>
      <c r="H44" s="162"/>
      <c r="I44" s="9"/>
      <c r="J44" s="663"/>
      <c r="K44" s="713"/>
      <c r="L44" s="714"/>
      <c r="M44" s="715"/>
      <c r="N44" s="24"/>
      <c r="O44" s="173" t="s">
        <v>337</v>
      </c>
      <c r="P44" s="442"/>
      <c r="Q44" s="10"/>
      <c r="R44" s="772"/>
      <c r="S44" s="773"/>
      <c r="T44" s="773"/>
      <c r="U44" s="774"/>
      <c r="V44" s="12"/>
      <c r="W44" s="162"/>
      <c r="X44" s="38"/>
      <c r="Y44" s="787"/>
      <c r="Z44" s="788"/>
      <c r="AA44" s="788"/>
      <c r="AB44" s="789"/>
      <c r="AC44" s="39"/>
      <c r="AD44" s="97"/>
      <c r="AE44" s="117">
        <f>IF(ISNUMBER(P44),1,0)</f>
        <v>0</v>
      </c>
      <c r="AF44" s="116">
        <f t="shared" si="8"/>
        <v>0</v>
      </c>
      <c r="AG44" s="780"/>
    </row>
    <row r="45" spans="2:33" ht="15">
      <c r="B45" s="38"/>
      <c r="C45" s="668"/>
      <c r="D45" s="669"/>
      <c r="E45" s="669"/>
      <c r="F45" s="670"/>
      <c r="G45" s="39"/>
      <c r="H45" s="162"/>
      <c r="I45" s="9"/>
      <c r="J45" s="664"/>
      <c r="K45" s="716"/>
      <c r="L45" s="717"/>
      <c r="M45" s="718"/>
      <c r="N45" s="24"/>
      <c r="O45" s="173" t="s">
        <v>334</v>
      </c>
      <c r="P45" s="37" t="b">
        <v>0</v>
      </c>
      <c r="Q45" s="10"/>
      <c r="R45" s="775"/>
      <c r="S45" s="776"/>
      <c r="T45" s="776"/>
      <c r="U45" s="777"/>
      <c r="V45" s="12"/>
      <c r="W45" s="162"/>
      <c r="X45" s="38"/>
      <c r="Y45" s="787"/>
      <c r="Z45" s="788"/>
      <c r="AA45" s="788"/>
      <c r="AB45" s="789"/>
      <c r="AC45" s="39"/>
      <c r="AD45" s="97"/>
      <c r="AE45" s="117">
        <f>IF(P45,1,0)</f>
        <v>0</v>
      </c>
      <c r="AF45" s="116"/>
      <c r="AG45" s="780"/>
    </row>
    <row r="46" spans="2:33">
      <c r="B46" s="38"/>
      <c r="C46" s="668"/>
      <c r="D46" s="669"/>
      <c r="E46" s="669"/>
      <c r="F46" s="670"/>
      <c r="G46" s="39"/>
      <c r="H46" s="162"/>
      <c r="I46" s="9"/>
      <c r="J46" s="65"/>
      <c r="K46" s="224"/>
      <c r="L46" s="224"/>
      <c r="M46" s="224"/>
      <c r="N46" s="10"/>
      <c r="O46" s="10"/>
      <c r="P46" s="18"/>
      <c r="Q46" s="10"/>
      <c r="R46" s="10"/>
      <c r="S46" s="10"/>
      <c r="T46" s="10"/>
      <c r="U46" s="10"/>
      <c r="V46" s="12"/>
      <c r="W46" s="162"/>
      <c r="X46" s="38"/>
      <c r="Y46" s="787"/>
      <c r="Z46" s="788"/>
      <c r="AA46" s="788"/>
      <c r="AB46" s="789"/>
      <c r="AC46" s="39"/>
      <c r="AD46" s="97"/>
      <c r="AE46" s="117"/>
      <c r="AF46" s="116"/>
      <c r="AG46" s="780"/>
    </row>
    <row r="47" spans="2:33" ht="18.45" customHeight="1">
      <c r="B47" s="38"/>
      <c r="C47" s="668"/>
      <c r="D47" s="669"/>
      <c r="E47" s="669"/>
      <c r="F47" s="670"/>
      <c r="G47" s="39"/>
      <c r="H47" s="162"/>
      <c r="I47" s="9"/>
      <c r="J47" s="742">
        <v>4.2</v>
      </c>
      <c r="K47" s="743" t="s">
        <v>1123</v>
      </c>
      <c r="L47" s="744"/>
      <c r="M47" s="745"/>
      <c r="N47" s="24"/>
      <c r="O47" s="797"/>
      <c r="P47" s="798"/>
      <c r="Q47" s="10"/>
      <c r="R47" s="778" t="s">
        <v>60</v>
      </c>
      <c r="S47" s="778"/>
      <c r="T47" s="778"/>
      <c r="U47" s="778"/>
      <c r="V47" s="12"/>
      <c r="W47" s="162"/>
      <c r="X47" s="38"/>
      <c r="Y47" s="787"/>
      <c r="Z47" s="788"/>
      <c r="AA47" s="788"/>
      <c r="AB47" s="789"/>
      <c r="AC47" s="39"/>
      <c r="AD47" s="97"/>
      <c r="AE47" s="117"/>
      <c r="AF47" s="116"/>
      <c r="AG47" s="780"/>
    </row>
    <row r="48" spans="2:33" ht="18.45" customHeight="1">
      <c r="B48" s="38"/>
      <c r="C48" s="668"/>
      <c r="D48" s="669"/>
      <c r="E48" s="669"/>
      <c r="F48" s="670"/>
      <c r="G48" s="39"/>
      <c r="H48" s="162"/>
      <c r="I48" s="9"/>
      <c r="J48" s="663"/>
      <c r="K48" s="713"/>
      <c r="L48" s="714"/>
      <c r="M48" s="715"/>
      <c r="N48" s="24"/>
      <c r="O48" s="602"/>
      <c r="P48" s="604"/>
      <c r="Q48" s="10"/>
      <c r="R48" s="778"/>
      <c r="S48" s="778"/>
      <c r="T48" s="778"/>
      <c r="U48" s="778"/>
      <c r="V48" s="12"/>
      <c r="W48" s="162"/>
      <c r="X48" s="38"/>
      <c r="Y48" s="787"/>
      <c r="Z48" s="788"/>
      <c r="AA48" s="788"/>
      <c r="AB48" s="789"/>
      <c r="AC48" s="39"/>
      <c r="AD48" s="97"/>
      <c r="AE48" s="117">
        <f xml:space="preserve"> IF(ISTEXT(O47),1,0)</f>
        <v>0</v>
      </c>
      <c r="AF48" s="116"/>
      <c r="AG48" s="780"/>
    </row>
    <row r="49" spans="2:33" ht="18.45" customHeight="1">
      <c r="B49" s="19"/>
      <c r="C49" s="668"/>
      <c r="D49" s="669"/>
      <c r="E49" s="669"/>
      <c r="F49" s="670"/>
      <c r="G49" s="20"/>
      <c r="H49" s="162"/>
      <c r="I49" s="9"/>
      <c r="J49" s="663"/>
      <c r="K49" s="713"/>
      <c r="L49" s="714"/>
      <c r="M49" s="715"/>
      <c r="N49" s="24"/>
      <c r="O49" s="602"/>
      <c r="P49" s="604"/>
      <c r="Q49" s="10"/>
      <c r="R49" s="778"/>
      <c r="S49" s="778"/>
      <c r="T49" s="778"/>
      <c r="U49" s="778"/>
      <c r="V49" s="12"/>
      <c r="W49" s="162"/>
      <c r="X49" s="19"/>
      <c r="Y49" s="787"/>
      <c r="Z49" s="788"/>
      <c r="AA49" s="788"/>
      <c r="AB49" s="789"/>
      <c r="AC49" s="20"/>
      <c r="AE49" s="106"/>
      <c r="AF49" s="107"/>
      <c r="AG49" s="781"/>
    </row>
    <row r="50" spans="2:33" ht="18.45" customHeight="1" thickBot="1">
      <c r="B50" s="38"/>
      <c r="C50" s="671"/>
      <c r="D50" s="672"/>
      <c r="E50" s="672"/>
      <c r="F50" s="673"/>
      <c r="G50" s="39"/>
      <c r="H50" s="162"/>
      <c r="I50" s="9"/>
      <c r="J50" s="664"/>
      <c r="K50" s="716"/>
      <c r="L50" s="717"/>
      <c r="M50" s="718"/>
      <c r="N50" s="31"/>
      <c r="O50" s="605"/>
      <c r="P50" s="607"/>
      <c r="Q50" s="10"/>
      <c r="R50" s="778"/>
      <c r="S50" s="778"/>
      <c r="T50" s="778"/>
      <c r="U50" s="778"/>
      <c r="V50" s="12"/>
      <c r="W50" s="162"/>
      <c r="X50" s="38"/>
      <c r="Y50" s="787"/>
      <c r="Z50" s="788"/>
      <c r="AA50" s="788"/>
      <c r="AB50" s="789"/>
      <c r="AC50" s="39"/>
      <c r="AD50" s="97"/>
      <c r="AE50" s="123">
        <f>SUM(AE41:AE49)</f>
        <v>0</v>
      </c>
      <c r="AF50" s="123">
        <f>SUM(AF41:AF49)</f>
        <v>0</v>
      </c>
      <c r="AG50" s="113"/>
    </row>
    <row r="51" spans="2:33" ht="18" thickTop="1">
      <c r="B51" s="38"/>
      <c r="C51" s="17"/>
      <c r="D51" s="17"/>
      <c r="E51" s="17"/>
      <c r="F51" s="17"/>
      <c r="G51" s="39"/>
      <c r="H51" s="162"/>
      <c r="I51" s="9"/>
      <c r="J51" s="65"/>
      <c r="K51" s="224"/>
      <c r="L51" s="224"/>
      <c r="M51" s="224"/>
      <c r="N51" s="10"/>
      <c r="O51" s="10"/>
      <c r="P51" s="18"/>
      <c r="Q51" s="10"/>
      <c r="R51" s="10"/>
      <c r="S51" s="10"/>
      <c r="T51" s="10"/>
      <c r="U51" s="10"/>
      <c r="V51" s="12"/>
      <c r="W51" s="162"/>
      <c r="X51" s="38"/>
      <c r="Y51" s="787"/>
      <c r="Z51" s="788"/>
      <c r="AA51" s="788"/>
      <c r="AB51" s="789"/>
      <c r="AC51" s="39"/>
      <c r="AD51" s="97"/>
    </row>
    <row r="52" spans="2:33" ht="21">
      <c r="B52" s="38"/>
      <c r="C52" s="17"/>
      <c r="D52" s="17"/>
      <c r="E52" s="17"/>
      <c r="F52" s="17"/>
      <c r="G52" s="39"/>
      <c r="H52" s="162"/>
      <c r="I52" s="9"/>
      <c r="J52" s="768" t="s">
        <v>57</v>
      </c>
      <c r="K52" s="768"/>
      <c r="L52" s="768"/>
      <c r="M52" s="768"/>
      <c r="N52" s="768"/>
      <c r="O52" s="768"/>
      <c r="P52" s="768"/>
      <c r="Q52" s="10"/>
      <c r="R52" s="765" t="str">
        <f>ROUND(AG41+AG28+AG21+AG7,0) &amp;"/"&amp;AK11</f>
        <v>0/15</v>
      </c>
      <c r="S52" s="766"/>
      <c r="T52" s="766"/>
      <c r="U52" s="767"/>
      <c r="V52" s="12"/>
      <c r="W52" s="162"/>
      <c r="X52" s="38"/>
      <c r="Y52" s="790"/>
      <c r="Z52" s="791"/>
      <c r="AA52" s="791"/>
      <c r="AB52" s="792"/>
      <c r="AC52" s="39"/>
      <c r="AD52" s="97"/>
    </row>
    <row r="53" spans="2:33" ht="18" thickBot="1">
      <c r="B53" s="41"/>
      <c r="C53" s="42"/>
      <c r="D53" s="42"/>
      <c r="E53" s="42"/>
      <c r="F53" s="42"/>
      <c r="G53" s="43"/>
      <c r="H53" s="162"/>
      <c r="I53" s="14"/>
      <c r="J53" s="67"/>
      <c r="K53" s="225"/>
      <c r="L53" s="225"/>
      <c r="M53" s="225"/>
      <c r="N53" s="15"/>
      <c r="O53" s="15"/>
      <c r="P53" s="63"/>
      <c r="Q53" s="15"/>
      <c r="R53" s="15"/>
      <c r="S53" s="15"/>
      <c r="T53" s="15"/>
      <c r="U53" s="15"/>
      <c r="V53" s="16"/>
      <c r="W53" s="162"/>
      <c r="X53" s="41"/>
      <c r="Y53" s="206"/>
      <c r="Z53" s="206"/>
      <c r="AA53" s="206"/>
      <c r="AB53" s="206"/>
      <c r="AC53" s="43"/>
      <c r="AD53" s="97"/>
    </row>
    <row r="54" spans="2:33">
      <c r="B54" s="91"/>
      <c r="C54" s="91"/>
      <c r="D54" s="91"/>
      <c r="E54" s="91"/>
      <c r="F54" s="91"/>
      <c r="G54" s="91"/>
      <c r="H54" s="91"/>
      <c r="W54" s="91"/>
      <c r="X54" s="91"/>
      <c r="Y54" s="139"/>
      <c r="Z54" s="139"/>
      <c r="AA54" s="139"/>
      <c r="AB54" s="139"/>
      <c r="AC54" s="91"/>
      <c r="AD54" s="91"/>
    </row>
    <row r="55" spans="2:33">
      <c r="B55" s="91"/>
      <c r="C55" s="91"/>
      <c r="D55" s="91"/>
      <c r="E55" s="91"/>
      <c r="F55" s="91"/>
      <c r="G55" s="91"/>
      <c r="H55" s="91"/>
      <c r="W55" s="91"/>
      <c r="X55" s="91"/>
      <c r="Y55" s="139"/>
      <c r="Z55" s="139"/>
      <c r="AA55" s="139"/>
      <c r="AB55" s="139"/>
      <c r="AC55" s="91"/>
      <c r="AD55" s="91"/>
    </row>
    <row r="56" spans="2:33">
      <c r="B56" s="91"/>
      <c r="C56" s="91"/>
      <c r="D56" s="91"/>
      <c r="E56" s="91"/>
      <c r="F56" s="91"/>
      <c r="G56" s="91"/>
      <c r="H56" s="91"/>
      <c r="W56" s="91"/>
      <c r="X56" s="91"/>
      <c r="Y56" s="139"/>
      <c r="Z56" s="139"/>
      <c r="AA56" s="139"/>
      <c r="AB56" s="139"/>
      <c r="AC56" s="91"/>
      <c r="AD56" s="91"/>
    </row>
    <row r="57" spans="2:33">
      <c r="B57" s="91"/>
      <c r="C57" s="91"/>
      <c r="D57" s="91"/>
      <c r="E57" s="91"/>
      <c r="F57" s="91"/>
      <c r="G57" s="91"/>
      <c r="H57" s="91"/>
      <c r="W57" s="91"/>
      <c r="X57" s="91"/>
      <c r="Y57" s="139"/>
      <c r="Z57" s="139"/>
      <c r="AA57" s="139"/>
      <c r="AB57" s="139"/>
      <c r="AC57" s="91"/>
      <c r="AD57" s="91"/>
    </row>
    <row r="58" spans="2:33">
      <c r="B58" s="91"/>
      <c r="C58" s="91"/>
      <c r="D58" s="91"/>
      <c r="E58" s="91"/>
      <c r="F58" s="91"/>
      <c r="G58" s="91"/>
      <c r="H58" s="91"/>
      <c r="W58" s="91"/>
      <c r="X58" s="91"/>
      <c r="Y58" s="139"/>
      <c r="Z58" s="139"/>
      <c r="AA58" s="139"/>
      <c r="AB58" s="139"/>
      <c r="AC58" s="91"/>
      <c r="AD58" s="91"/>
    </row>
    <row r="59" spans="2:33">
      <c r="B59" s="91"/>
      <c r="C59" s="91"/>
      <c r="D59" s="91"/>
      <c r="E59" s="91"/>
      <c r="F59" s="91"/>
      <c r="G59" s="91"/>
      <c r="H59" s="91"/>
      <c r="W59" s="91"/>
      <c r="X59" s="91"/>
      <c r="Y59" s="139"/>
      <c r="Z59" s="139"/>
      <c r="AA59" s="139"/>
      <c r="AB59" s="139"/>
      <c r="AC59" s="91"/>
      <c r="AD59" s="91"/>
    </row>
    <row r="60" spans="2:33">
      <c r="B60" s="91"/>
      <c r="C60" s="91"/>
      <c r="D60" s="91"/>
      <c r="E60" s="91"/>
      <c r="F60" s="91"/>
      <c r="G60" s="91"/>
      <c r="H60" s="91"/>
      <c r="W60" s="91"/>
      <c r="X60" s="91"/>
      <c r="Y60" s="139"/>
      <c r="Z60" s="139"/>
      <c r="AA60" s="139"/>
      <c r="AB60" s="139"/>
      <c r="AC60" s="91"/>
      <c r="AD60" s="91"/>
    </row>
    <row r="61" spans="2:33">
      <c r="B61" s="91"/>
      <c r="C61" s="91"/>
      <c r="D61" s="91"/>
      <c r="E61" s="91"/>
      <c r="F61" s="91"/>
      <c r="G61" s="91"/>
      <c r="H61" s="91"/>
      <c r="W61" s="91"/>
      <c r="X61" s="91"/>
      <c r="Y61" s="139"/>
      <c r="Z61" s="139"/>
      <c r="AA61" s="139"/>
      <c r="AB61" s="139"/>
      <c r="AC61" s="91"/>
      <c r="AD61" s="91"/>
    </row>
    <row r="62" spans="2:33">
      <c r="B62" s="91"/>
      <c r="C62" s="91"/>
      <c r="D62" s="91"/>
      <c r="E62" s="91"/>
      <c r="F62" s="91"/>
      <c r="G62" s="91"/>
      <c r="H62" s="91"/>
      <c r="W62" s="91"/>
      <c r="X62" s="91"/>
      <c r="Y62" s="139"/>
      <c r="Z62" s="139"/>
      <c r="AA62" s="139"/>
      <c r="AB62" s="139"/>
      <c r="AC62" s="91"/>
      <c r="AD62" s="91"/>
    </row>
    <row r="63" spans="2:33">
      <c r="B63" s="91"/>
      <c r="C63" s="91"/>
      <c r="D63" s="91"/>
      <c r="E63" s="91"/>
      <c r="F63" s="91"/>
      <c r="G63" s="91"/>
      <c r="H63" s="91"/>
      <c r="W63" s="91"/>
      <c r="X63" s="91"/>
      <c r="Y63" s="139"/>
      <c r="Z63" s="139"/>
      <c r="AA63" s="139"/>
      <c r="AB63" s="139"/>
      <c r="AC63" s="91"/>
      <c r="AD63" s="91"/>
    </row>
    <row r="64" spans="2:33">
      <c r="B64" s="91"/>
      <c r="C64" s="91"/>
      <c r="D64" s="91"/>
      <c r="E64" s="91"/>
      <c r="F64" s="91"/>
      <c r="G64" s="91"/>
      <c r="H64" s="91"/>
      <c r="W64" s="91"/>
      <c r="X64" s="91"/>
      <c r="Y64" s="139"/>
      <c r="Z64" s="139"/>
      <c r="AA64" s="139"/>
      <c r="AB64" s="139"/>
      <c r="AC64" s="91"/>
      <c r="AD64" s="91"/>
    </row>
    <row r="65" spans="2:30">
      <c r="B65" s="91"/>
      <c r="C65" s="91"/>
      <c r="D65" s="91"/>
      <c r="E65" s="91"/>
      <c r="F65" s="91"/>
      <c r="G65" s="91"/>
      <c r="H65" s="91"/>
      <c r="W65" s="91"/>
      <c r="X65" s="91"/>
      <c r="Y65" s="139"/>
      <c r="Z65" s="139"/>
      <c r="AA65" s="139"/>
      <c r="AB65" s="139"/>
      <c r="AC65" s="91"/>
      <c r="AD65" s="91"/>
    </row>
    <row r="66" spans="2:30">
      <c r="B66" s="91"/>
      <c r="C66" s="91"/>
      <c r="D66" s="91"/>
      <c r="E66" s="91"/>
      <c r="F66" s="91"/>
      <c r="G66" s="91"/>
      <c r="H66" s="91"/>
      <c r="W66" s="91"/>
      <c r="X66" s="91"/>
      <c r="Y66" s="139"/>
      <c r="Z66" s="139"/>
      <c r="AA66" s="139"/>
      <c r="AB66" s="139"/>
      <c r="AC66" s="91"/>
      <c r="AD66" s="91"/>
    </row>
    <row r="67" spans="2:30">
      <c r="B67" s="91"/>
      <c r="C67" s="91"/>
      <c r="D67" s="91"/>
      <c r="E67" s="91"/>
      <c r="F67" s="91"/>
      <c r="G67" s="91"/>
      <c r="H67" s="91"/>
      <c r="W67" s="91"/>
      <c r="X67" s="91"/>
      <c r="Y67" s="139"/>
      <c r="Z67" s="139"/>
      <c r="AA67" s="139"/>
      <c r="AB67" s="139"/>
      <c r="AC67" s="91"/>
      <c r="AD67" s="91"/>
    </row>
    <row r="68" spans="2:30">
      <c r="B68" s="91"/>
      <c r="C68" s="91"/>
      <c r="D68" s="91"/>
      <c r="E68" s="91"/>
      <c r="F68" s="91"/>
      <c r="G68" s="91"/>
      <c r="H68" s="91"/>
      <c r="W68" s="91"/>
      <c r="X68" s="91"/>
      <c r="Y68" s="139"/>
      <c r="Z68" s="139"/>
      <c r="AA68" s="139"/>
      <c r="AB68" s="139"/>
      <c r="AC68" s="91"/>
      <c r="AD68" s="91"/>
    </row>
    <row r="69" spans="2:30">
      <c r="B69" s="91"/>
      <c r="C69" s="91"/>
      <c r="D69" s="91"/>
      <c r="E69" s="91"/>
      <c r="F69" s="91"/>
      <c r="G69" s="91"/>
      <c r="H69" s="91"/>
      <c r="W69" s="91"/>
      <c r="X69" s="91"/>
      <c r="Y69" s="139"/>
      <c r="Z69" s="139"/>
      <c r="AA69" s="139"/>
      <c r="AB69" s="139"/>
      <c r="AC69" s="91"/>
      <c r="AD69" s="91"/>
    </row>
    <row r="70" spans="2:30">
      <c r="B70" s="91"/>
      <c r="C70" s="91"/>
      <c r="D70" s="91"/>
      <c r="E70" s="91"/>
      <c r="F70" s="91"/>
      <c r="G70" s="91"/>
      <c r="H70" s="91"/>
      <c r="W70" s="91"/>
      <c r="X70" s="91"/>
      <c r="Y70" s="139"/>
      <c r="Z70" s="139"/>
      <c r="AA70" s="139"/>
      <c r="AB70" s="139"/>
      <c r="AC70" s="91"/>
      <c r="AD70" s="91"/>
    </row>
    <row r="71" spans="2:30">
      <c r="B71" s="91"/>
      <c r="C71" s="91"/>
      <c r="D71" s="91"/>
      <c r="E71" s="91"/>
      <c r="F71" s="91"/>
      <c r="G71" s="91"/>
      <c r="H71" s="91"/>
      <c r="W71" s="91"/>
      <c r="X71" s="91"/>
      <c r="Y71" s="139"/>
      <c r="Z71" s="139"/>
      <c r="AA71" s="139"/>
      <c r="AB71" s="139"/>
      <c r="AC71" s="91"/>
      <c r="AD71" s="91"/>
    </row>
    <row r="72" spans="2:30">
      <c r="B72" s="91"/>
      <c r="C72" s="91"/>
      <c r="D72" s="91"/>
      <c r="E72" s="91"/>
      <c r="F72" s="91"/>
      <c r="G72" s="91"/>
      <c r="H72" s="91"/>
      <c r="W72" s="91"/>
      <c r="X72" s="91"/>
      <c r="Y72" s="139"/>
      <c r="Z72" s="139"/>
      <c r="AA72" s="139"/>
      <c r="AB72" s="139"/>
      <c r="AC72" s="91"/>
      <c r="AD72" s="91"/>
    </row>
    <row r="73" spans="2:30">
      <c r="B73" s="91"/>
      <c r="C73" s="91"/>
      <c r="D73" s="91"/>
      <c r="E73" s="91"/>
      <c r="F73" s="91"/>
      <c r="G73" s="91"/>
      <c r="H73" s="91"/>
      <c r="W73" s="91"/>
      <c r="X73" s="91"/>
      <c r="Y73" s="139"/>
      <c r="Z73" s="139"/>
      <c r="AA73" s="139"/>
      <c r="AB73" s="139"/>
      <c r="AC73" s="91"/>
      <c r="AD73" s="91"/>
    </row>
    <row r="74" spans="2:30">
      <c r="B74" s="91"/>
      <c r="C74" s="91"/>
      <c r="D74" s="91"/>
      <c r="E74" s="91"/>
      <c r="F74" s="91"/>
      <c r="G74" s="91"/>
      <c r="H74" s="91"/>
      <c r="W74" s="91"/>
      <c r="X74" s="91"/>
      <c r="Y74" s="139"/>
      <c r="Z74" s="139"/>
      <c r="AA74" s="139"/>
      <c r="AB74" s="139"/>
      <c r="AC74" s="91"/>
      <c r="AD74" s="91"/>
    </row>
    <row r="75" spans="2:30">
      <c r="B75" s="91"/>
      <c r="C75" s="91"/>
      <c r="D75" s="91"/>
      <c r="E75" s="91"/>
      <c r="F75" s="91"/>
      <c r="G75" s="91"/>
      <c r="H75" s="91"/>
      <c r="W75" s="91"/>
      <c r="X75" s="91"/>
      <c r="Y75" s="139"/>
      <c r="Z75" s="139"/>
      <c r="AA75" s="139"/>
      <c r="AB75" s="139"/>
      <c r="AC75" s="91"/>
      <c r="AD75" s="91"/>
    </row>
    <row r="76" spans="2:30">
      <c r="B76" s="91"/>
      <c r="C76" s="91"/>
      <c r="D76" s="91"/>
      <c r="E76" s="91"/>
      <c r="F76" s="91"/>
      <c r="G76" s="91"/>
      <c r="H76" s="91"/>
      <c r="W76" s="91"/>
      <c r="X76" s="91"/>
      <c r="Y76" s="139"/>
      <c r="Z76" s="139"/>
      <c r="AA76" s="139"/>
      <c r="AB76" s="139"/>
      <c r="AC76" s="91"/>
      <c r="AD76" s="91"/>
    </row>
    <row r="77" spans="2:30">
      <c r="B77" s="91"/>
      <c r="C77" s="91"/>
      <c r="D77" s="91"/>
      <c r="E77" s="91"/>
      <c r="F77" s="91"/>
      <c r="G77" s="91"/>
      <c r="H77" s="91"/>
      <c r="W77" s="91"/>
      <c r="X77" s="91"/>
      <c r="Y77" s="139"/>
      <c r="Z77" s="139"/>
      <c r="AA77" s="139"/>
      <c r="AB77" s="139"/>
      <c r="AC77" s="91"/>
      <c r="AD77" s="91"/>
    </row>
    <row r="78" spans="2:30">
      <c r="B78" s="91"/>
      <c r="C78" s="91"/>
      <c r="D78" s="91"/>
      <c r="E78" s="91"/>
      <c r="F78" s="91"/>
      <c r="G78" s="91"/>
      <c r="H78" s="91"/>
      <c r="W78" s="91"/>
      <c r="X78" s="91"/>
      <c r="Y78" s="139"/>
      <c r="Z78" s="139"/>
      <c r="AA78" s="139"/>
      <c r="AB78" s="139"/>
      <c r="AC78" s="91"/>
      <c r="AD78" s="91"/>
    </row>
    <row r="79" spans="2:30">
      <c r="B79" s="91"/>
      <c r="C79" s="91"/>
      <c r="D79" s="91"/>
      <c r="E79" s="91"/>
      <c r="F79" s="91"/>
      <c r="G79" s="91"/>
      <c r="H79" s="91"/>
      <c r="W79" s="91"/>
      <c r="X79" s="91"/>
      <c r="Y79" s="139"/>
      <c r="Z79" s="139"/>
      <c r="AA79" s="139"/>
      <c r="AB79" s="139"/>
      <c r="AC79" s="91"/>
      <c r="AD79" s="91"/>
    </row>
    <row r="80" spans="2:30">
      <c r="B80" s="91"/>
      <c r="C80" s="91"/>
      <c r="D80" s="91"/>
      <c r="E80" s="91"/>
      <c r="F80" s="91"/>
      <c r="G80" s="91"/>
      <c r="H80" s="91"/>
      <c r="W80" s="91"/>
      <c r="X80" s="91"/>
      <c r="Y80" s="139"/>
      <c r="Z80" s="139"/>
      <c r="AA80" s="139"/>
      <c r="AB80" s="139"/>
      <c r="AC80" s="91"/>
      <c r="AD80" s="91"/>
    </row>
    <row r="81" spans="2:30">
      <c r="B81" s="91"/>
      <c r="C81" s="91"/>
      <c r="D81" s="91"/>
      <c r="E81" s="91"/>
      <c r="F81" s="91"/>
      <c r="G81" s="91"/>
      <c r="H81" s="91"/>
      <c r="W81" s="91"/>
      <c r="X81" s="91"/>
      <c r="Y81" s="139"/>
      <c r="Z81" s="139"/>
      <c r="AA81" s="139"/>
      <c r="AB81" s="139"/>
      <c r="AC81" s="91"/>
      <c r="AD81" s="91"/>
    </row>
    <row r="82" spans="2:30">
      <c r="B82" s="91"/>
      <c r="C82" s="91"/>
      <c r="D82" s="91"/>
      <c r="E82" s="91"/>
      <c r="F82" s="91"/>
      <c r="G82" s="91"/>
      <c r="H82" s="91"/>
      <c r="W82" s="91"/>
      <c r="X82" s="91"/>
      <c r="Y82" s="139"/>
      <c r="Z82" s="139"/>
      <c r="AA82" s="139"/>
      <c r="AB82" s="139"/>
      <c r="AC82" s="91"/>
      <c r="AD82" s="91"/>
    </row>
    <row r="83" spans="2:30">
      <c r="B83" s="91"/>
      <c r="C83" s="91"/>
      <c r="D83" s="91"/>
      <c r="E83" s="91"/>
      <c r="F83" s="91"/>
      <c r="G83" s="91"/>
      <c r="H83" s="91"/>
      <c r="W83" s="91"/>
      <c r="X83" s="91"/>
      <c r="Y83" s="139"/>
      <c r="Z83" s="139"/>
      <c r="AA83" s="139"/>
      <c r="AB83" s="139"/>
      <c r="AC83" s="91"/>
      <c r="AD83" s="91"/>
    </row>
    <row r="84" spans="2:30">
      <c r="B84" s="91"/>
      <c r="C84" s="91"/>
      <c r="D84" s="91"/>
      <c r="E84" s="91"/>
      <c r="F84" s="91"/>
      <c r="G84" s="91"/>
      <c r="H84" s="91"/>
      <c r="W84" s="91"/>
      <c r="X84" s="91"/>
      <c r="Y84" s="139"/>
      <c r="Z84" s="139"/>
      <c r="AA84" s="139"/>
      <c r="AB84" s="139"/>
      <c r="AC84" s="91"/>
      <c r="AD84" s="91"/>
    </row>
    <row r="85" spans="2:30">
      <c r="B85" s="91"/>
      <c r="C85" s="91"/>
      <c r="D85" s="91"/>
      <c r="E85" s="91"/>
      <c r="F85" s="91"/>
      <c r="G85" s="91"/>
      <c r="H85" s="91"/>
      <c r="W85" s="91"/>
      <c r="X85" s="91"/>
      <c r="Y85" s="139"/>
      <c r="Z85" s="139"/>
      <c r="AA85" s="139"/>
      <c r="AB85" s="139"/>
      <c r="AC85" s="91"/>
      <c r="AD85" s="91"/>
    </row>
    <row r="86" spans="2:30">
      <c r="B86" s="91"/>
      <c r="C86" s="91"/>
      <c r="D86" s="91"/>
      <c r="E86" s="91"/>
      <c r="F86" s="91"/>
      <c r="G86" s="91"/>
      <c r="H86" s="91"/>
      <c r="W86" s="91"/>
      <c r="X86" s="91"/>
      <c r="Y86" s="139"/>
      <c r="Z86" s="139"/>
      <c r="AA86" s="139"/>
      <c r="AB86" s="139"/>
      <c r="AC86" s="91"/>
      <c r="AD86" s="91"/>
    </row>
    <row r="87" spans="2:30">
      <c r="B87" s="91"/>
      <c r="C87" s="91"/>
      <c r="D87" s="91"/>
      <c r="E87" s="91"/>
      <c r="F87" s="91"/>
      <c r="G87" s="91"/>
      <c r="H87" s="91"/>
      <c r="W87" s="91"/>
      <c r="X87" s="91"/>
      <c r="Y87" s="139"/>
      <c r="Z87" s="139"/>
      <c r="AA87" s="139"/>
      <c r="AB87" s="139"/>
      <c r="AC87" s="91"/>
      <c r="AD87" s="91"/>
    </row>
  </sheetData>
  <mergeCells count="38">
    <mergeCell ref="C41:F50"/>
    <mergeCell ref="R7:U18"/>
    <mergeCell ref="AG7:AG17"/>
    <mergeCell ref="X2:AC3"/>
    <mergeCell ref="I2:V3"/>
    <mergeCell ref="R47:U50"/>
    <mergeCell ref="R21:U24"/>
    <mergeCell ref="J21:J24"/>
    <mergeCell ref="K21:M24"/>
    <mergeCell ref="O47:P50"/>
    <mergeCell ref="R41:U45"/>
    <mergeCell ref="J47:J50"/>
    <mergeCell ref="Y26:AB31"/>
    <mergeCell ref="Y33:AB39"/>
    <mergeCell ref="Y7:AB17"/>
    <mergeCell ref="K7:M17"/>
    <mergeCell ref="B2:G3"/>
    <mergeCell ref="J28:J31"/>
    <mergeCell ref="J33:J37"/>
    <mergeCell ref="J7:J17"/>
    <mergeCell ref="C7:F17"/>
    <mergeCell ref="C21:F24"/>
    <mergeCell ref="C28:F37"/>
    <mergeCell ref="AL5:AL6"/>
    <mergeCell ref="AG21:AG24"/>
    <mergeCell ref="AG28:AG36"/>
    <mergeCell ref="AG41:AG49"/>
    <mergeCell ref="Y19:AB24"/>
    <mergeCell ref="Y41:AB52"/>
    <mergeCell ref="R52:U52"/>
    <mergeCell ref="J52:P52"/>
    <mergeCell ref="K33:M37"/>
    <mergeCell ref="R33:U37"/>
    <mergeCell ref="K28:M31"/>
    <mergeCell ref="R28:U31"/>
    <mergeCell ref="K47:M50"/>
    <mergeCell ref="J41:J45"/>
    <mergeCell ref="K41:M45"/>
  </mergeCells>
  <conditionalFormatting sqref="O7">
    <cfRule type="expression" dxfId="554" priority="89">
      <formula>$P$7</formula>
    </cfRule>
  </conditionalFormatting>
  <conditionalFormatting sqref="O8">
    <cfRule type="expression" dxfId="553" priority="87">
      <formula>$P$8</formula>
    </cfRule>
  </conditionalFormatting>
  <conditionalFormatting sqref="O9">
    <cfRule type="expression" dxfId="552" priority="86">
      <formula>$P$9</formula>
    </cfRule>
  </conditionalFormatting>
  <conditionalFormatting sqref="O10">
    <cfRule type="expression" dxfId="551" priority="85">
      <formula>$P$10</formula>
    </cfRule>
  </conditionalFormatting>
  <conditionalFormatting sqref="O11">
    <cfRule type="expression" dxfId="550" priority="84">
      <formula>$P$11</formula>
    </cfRule>
  </conditionalFormatting>
  <conditionalFormatting sqref="O12">
    <cfRule type="expression" dxfId="549" priority="13">
      <formula>$P$12</formula>
    </cfRule>
  </conditionalFormatting>
  <conditionalFormatting sqref="O13">
    <cfRule type="expression" dxfId="548" priority="12">
      <formula>$P$13</formula>
    </cfRule>
  </conditionalFormatting>
  <conditionalFormatting sqref="O14">
    <cfRule type="expression" dxfId="547" priority="82">
      <formula>$P$14</formula>
    </cfRule>
  </conditionalFormatting>
  <conditionalFormatting sqref="O15">
    <cfRule type="expression" dxfId="546" priority="81">
      <formula>$P$15</formula>
    </cfRule>
  </conditionalFormatting>
  <conditionalFormatting sqref="O16">
    <cfRule type="expression" dxfId="545" priority="10">
      <formula>$P$16</formula>
    </cfRule>
  </conditionalFormatting>
  <conditionalFormatting sqref="O21">
    <cfRule type="expression" dxfId="544" priority="9">
      <formula>$P$21</formula>
    </cfRule>
  </conditionalFormatting>
  <conditionalFormatting sqref="O22">
    <cfRule type="expression" dxfId="543" priority="8">
      <formula>$P$22</formula>
    </cfRule>
  </conditionalFormatting>
  <conditionalFormatting sqref="O23">
    <cfRule type="expression" dxfId="542" priority="7">
      <formula>$P$23</formula>
    </cfRule>
  </conditionalFormatting>
  <conditionalFormatting sqref="O33">
    <cfRule type="expression" dxfId="541" priority="4">
      <formula>$P$33</formula>
    </cfRule>
  </conditionalFormatting>
  <conditionalFormatting sqref="O34">
    <cfRule type="expression" dxfId="540" priority="3">
      <formula>$P$34</formula>
    </cfRule>
  </conditionalFormatting>
  <conditionalFormatting sqref="O35">
    <cfRule type="expression" dxfId="539" priority="2">
      <formula>$P$35</formula>
    </cfRule>
  </conditionalFormatting>
  <conditionalFormatting sqref="O36">
    <cfRule type="expression" dxfId="538" priority="1">
      <formula>$P$36</formula>
    </cfRule>
  </conditionalFormatting>
  <conditionalFormatting sqref="O41">
    <cfRule type="expression" dxfId="537" priority="20">
      <formula>$P$41</formula>
    </cfRule>
  </conditionalFormatting>
  <conditionalFormatting sqref="O42">
    <cfRule type="expression" dxfId="536" priority="19">
      <formula>$P$42</formula>
    </cfRule>
  </conditionalFormatting>
  <conditionalFormatting sqref="O43">
    <cfRule type="expression" dxfId="535" priority="18">
      <formula>$P$43</formula>
    </cfRule>
  </conditionalFormatting>
  <conditionalFormatting sqref="O44">
    <cfRule type="expression" dxfId="534" priority="17">
      <formula>$P$44</formula>
    </cfRule>
  </conditionalFormatting>
  <conditionalFormatting sqref="O7:P16">
    <cfRule type="expression" dxfId="533" priority="770">
      <formula>$P$17</formula>
    </cfRule>
  </conditionalFormatting>
  <conditionalFormatting sqref="O21:P23">
    <cfRule type="expression" dxfId="532" priority="6">
      <formula>$P$24</formula>
    </cfRule>
  </conditionalFormatting>
  <conditionalFormatting sqref="O28:P28 O30:P31">
    <cfRule type="expression" dxfId="531" priority="52">
      <formula>$P$29</formula>
    </cfRule>
  </conditionalFormatting>
  <conditionalFormatting sqref="O28:P29 O31:P31">
    <cfRule type="expression" dxfId="530" priority="51">
      <formula>$P$30</formula>
    </cfRule>
  </conditionalFormatting>
  <conditionalFormatting sqref="O28:P30">
    <cfRule type="expression" dxfId="529" priority="50">
      <formula>$P$31</formula>
    </cfRule>
  </conditionalFormatting>
  <conditionalFormatting sqref="O29:P31">
    <cfRule type="expression" dxfId="528" priority="53">
      <formula>$P$28</formula>
    </cfRule>
  </conditionalFormatting>
  <conditionalFormatting sqref="O31:P31">
    <cfRule type="expression" dxfId="527" priority="5">
      <formula>OR($P$28:$P$30)</formula>
    </cfRule>
  </conditionalFormatting>
  <conditionalFormatting sqref="O37:P37">
    <cfRule type="expression" dxfId="526" priority="11">
      <formula>$P$36</formula>
    </cfRule>
    <cfRule type="expression" dxfId="525" priority="44">
      <formula>$P$35</formula>
    </cfRule>
    <cfRule type="expression" dxfId="524" priority="45">
      <formula>$P$34</formula>
    </cfRule>
    <cfRule type="expression" dxfId="523" priority="46">
      <formula>$P$33</formula>
    </cfRule>
  </conditionalFormatting>
  <conditionalFormatting sqref="O41:P44">
    <cfRule type="expression" dxfId="522" priority="16">
      <formula>$P$45</formula>
    </cfRule>
  </conditionalFormatting>
  <conditionalFormatting sqref="Y7">
    <cfRule type="expression" dxfId="521" priority="771">
      <formula>$P$17</formula>
    </cfRule>
  </conditionalFormatting>
  <conditionalFormatting sqref="Y26">
    <cfRule type="expression" dxfId="520" priority="32">
      <formula>$P$31</formula>
    </cfRule>
  </conditionalFormatting>
  <conditionalFormatting sqref="Y19:AB24">
    <cfRule type="expression" dxfId="519" priority="33">
      <formula>$P$24</formula>
    </cfRule>
  </conditionalFormatting>
  <conditionalFormatting sqref="Y33:AB39">
    <cfRule type="expression" dxfId="518" priority="26">
      <formula>$AE$37</formula>
    </cfRule>
  </conditionalFormatting>
  <conditionalFormatting sqref="Y41:AB52">
    <cfRule type="expression" dxfId="517" priority="15">
      <formula>"AND(AF49&gt;=1, AF49&lt;=4)"</formula>
    </cfRule>
    <cfRule type="expression" dxfId="516" priority="14">
      <formula>$AF$50&gt;4</formula>
    </cfRule>
    <cfRule type="expression" dxfId="515" priority="30">
      <formula>$P$45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8830-474E-45F9-90F5-E952A117A60A}">
  <sheetPr codeName="Sheet8">
    <tabColor theme="6" tint="0.39997558519241921"/>
  </sheetPr>
  <dimension ref="B1:AM136"/>
  <sheetViews>
    <sheetView showGridLines="0" zoomScale="68" zoomScaleNormal="100" workbookViewId="0">
      <selection activeCell="Q103" sqref="Q103"/>
    </sheetView>
  </sheetViews>
  <sheetFormatPr defaultColWidth="8.77734375" defaultRowHeight="17.399999999999999"/>
  <cols>
    <col min="1" max="1" width="4.21875" style="91" customWidth="1"/>
    <col min="2" max="2" width="3.21875" style="91" customWidth="1"/>
    <col min="3" max="6" width="8.77734375" style="91"/>
    <col min="7" max="7" width="3" style="91" customWidth="1"/>
    <col min="8" max="9" width="3.21875" style="91" customWidth="1"/>
    <col min="10" max="10" width="9.21875" style="124" customWidth="1"/>
    <col min="11" max="13" width="21.5546875" style="215" customWidth="1"/>
    <col min="14" max="14" width="3.21875" style="91" customWidth="1"/>
    <col min="15" max="15" width="67.109375" style="139" customWidth="1"/>
    <col min="16" max="16" width="40.33203125" style="139" customWidth="1"/>
    <col min="17" max="17" width="6" style="125" bestFit="1" customWidth="1"/>
    <col min="18" max="18" width="3.33203125" style="91" customWidth="1"/>
    <col min="19" max="22" width="7.21875" style="91" customWidth="1"/>
    <col min="23" max="25" width="3.21875" style="91" customWidth="1"/>
    <col min="26" max="29" width="23.33203125" style="204" customWidth="1"/>
    <col min="30" max="30" width="3" style="91" customWidth="1"/>
    <col min="31" max="31" width="9.33203125" style="91" customWidth="1"/>
    <col min="32" max="32" width="21.88671875" style="98" bestFit="1" customWidth="1"/>
    <col min="33" max="34" width="21.44140625" style="98" bestFit="1" customWidth="1"/>
    <col min="35" max="35" width="5.44140625" style="98" customWidth="1"/>
    <col min="36" max="36" width="10.5546875" style="98" bestFit="1" customWidth="1"/>
    <col min="37" max="37" width="16" style="98" bestFit="1" customWidth="1"/>
    <col min="38" max="38" width="16" style="94" bestFit="1" customWidth="1"/>
    <col min="39" max="39" width="20.33203125" style="94" bestFit="1" customWidth="1"/>
    <col min="40" max="16384" width="8.77734375" style="91"/>
  </cols>
  <sheetData>
    <row r="1" spans="2:39" ht="18" thickBot="1"/>
    <row r="2" spans="2:39" ht="15" customHeight="1">
      <c r="B2" s="724" t="s">
        <v>61</v>
      </c>
      <c r="C2" s="725"/>
      <c r="D2" s="725"/>
      <c r="E2" s="725"/>
      <c r="F2" s="725"/>
      <c r="G2" s="726"/>
      <c r="H2" s="529"/>
      <c r="I2" s="724" t="s">
        <v>64</v>
      </c>
      <c r="J2" s="725"/>
      <c r="K2" s="725"/>
      <c r="L2" s="725"/>
      <c r="M2" s="725"/>
      <c r="N2" s="725"/>
      <c r="O2" s="725"/>
      <c r="P2" s="725"/>
      <c r="Q2" s="725"/>
      <c r="R2" s="725"/>
      <c r="S2" s="725"/>
      <c r="T2" s="725"/>
      <c r="U2" s="725"/>
      <c r="V2" s="725"/>
      <c r="W2" s="726"/>
      <c r="X2" s="529"/>
      <c r="Y2" s="724" t="s">
        <v>329</v>
      </c>
      <c r="Z2" s="725"/>
      <c r="AA2" s="725"/>
      <c r="AB2" s="725"/>
      <c r="AC2" s="725"/>
      <c r="AD2" s="726"/>
      <c r="AE2" s="95"/>
    </row>
    <row r="3" spans="2:39" ht="15" customHeight="1" thickBot="1">
      <c r="B3" s="727"/>
      <c r="C3" s="728"/>
      <c r="D3" s="728"/>
      <c r="E3" s="728"/>
      <c r="F3" s="728"/>
      <c r="G3" s="729"/>
      <c r="H3" s="529"/>
      <c r="I3" s="727"/>
      <c r="J3" s="728"/>
      <c r="K3" s="728"/>
      <c r="L3" s="728"/>
      <c r="M3" s="728"/>
      <c r="N3" s="728"/>
      <c r="O3" s="728"/>
      <c r="P3" s="728"/>
      <c r="Q3" s="728"/>
      <c r="R3" s="728"/>
      <c r="S3" s="728"/>
      <c r="T3" s="728"/>
      <c r="U3" s="728"/>
      <c r="V3" s="728"/>
      <c r="W3" s="729"/>
      <c r="X3" s="529"/>
      <c r="Y3" s="727"/>
      <c r="Z3" s="728"/>
      <c r="AA3" s="728"/>
      <c r="AB3" s="728"/>
      <c r="AC3" s="728"/>
      <c r="AD3" s="729"/>
      <c r="AE3" s="95"/>
    </row>
    <row r="4" spans="2:39">
      <c r="B4" s="19"/>
      <c r="C4" s="17"/>
      <c r="D4" s="17"/>
      <c r="E4" s="17"/>
      <c r="F4" s="17"/>
      <c r="G4" s="20"/>
      <c r="H4" s="162"/>
      <c r="I4" s="19"/>
      <c r="J4" s="56"/>
      <c r="K4" s="208"/>
      <c r="L4" s="208"/>
      <c r="M4" s="208"/>
      <c r="N4" s="17"/>
      <c r="O4" s="40"/>
      <c r="P4" s="40"/>
      <c r="Q4" s="25"/>
      <c r="R4" s="17"/>
      <c r="S4" s="17"/>
      <c r="T4" s="17"/>
      <c r="U4" s="17"/>
      <c r="V4" s="17"/>
      <c r="W4" s="20"/>
      <c r="X4" s="162"/>
      <c r="Y4" s="19"/>
      <c r="Z4" s="22"/>
      <c r="AA4" s="22"/>
      <c r="AB4" s="22"/>
      <c r="AC4" s="22"/>
      <c r="AD4" s="20"/>
      <c r="AE4" s="92"/>
    </row>
    <row r="5" spans="2:39">
      <c r="B5" s="19"/>
      <c r="C5" s="17"/>
      <c r="D5" s="17"/>
      <c r="E5" s="17"/>
      <c r="F5" s="17"/>
      <c r="G5" s="20"/>
      <c r="H5" s="162"/>
      <c r="I5" s="19"/>
      <c r="J5" s="28" t="s">
        <v>10</v>
      </c>
      <c r="K5" s="209" t="s">
        <v>185</v>
      </c>
      <c r="L5" s="208"/>
      <c r="M5" s="208"/>
      <c r="N5" s="17"/>
      <c r="O5" s="40"/>
      <c r="P5" s="40"/>
      <c r="Q5" s="25"/>
      <c r="R5" s="17"/>
      <c r="S5" s="17"/>
      <c r="T5" s="17"/>
      <c r="U5" s="17"/>
      <c r="V5" s="17"/>
      <c r="W5" s="20"/>
      <c r="X5" s="162"/>
      <c r="Y5" s="19"/>
      <c r="Z5" s="22"/>
      <c r="AA5" s="22"/>
      <c r="AB5" s="22"/>
      <c r="AC5" s="22"/>
      <c r="AD5" s="20"/>
      <c r="AE5" s="92"/>
      <c r="AF5" s="170" t="s">
        <v>316</v>
      </c>
      <c r="AG5" s="171" t="s">
        <v>45</v>
      </c>
      <c r="AH5" s="185" t="s">
        <v>45</v>
      </c>
      <c r="AI5" s="100"/>
      <c r="AJ5" s="105" t="s">
        <v>313</v>
      </c>
      <c r="AK5" s="105" t="s">
        <v>314</v>
      </c>
      <c r="AL5" s="105" t="s">
        <v>314</v>
      </c>
      <c r="AM5" s="680" t="s">
        <v>368</v>
      </c>
    </row>
    <row r="6" spans="2:39">
      <c r="B6" s="19"/>
      <c r="C6" s="17"/>
      <c r="D6" s="17"/>
      <c r="E6" s="17"/>
      <c r="F6" s="17"/>
      <c r="G6" s="20"/>
      <c r="H6" s="162"/>
      <c r="I6" s="19"/>
      <c r="J6" s="56"/>
      <c r="K6" s="208"/>
      <c r="L6" s="208"/>
      <c r="M6" s="208"/>
      <c r="N6" s="17"/>
      <c r="O6" s="40"/>
      <c r="P6" s="40"/>
      <c r="Q6" s="25"/>
      <c r="R6" s="17"/>
      <c r="S6" s="17"/>
      <c r="T6" s="17"/>
      <c r="U6" s="17"/>
      <c r="V6" s="17"/>
      <c r="W6" s="20"/>
      <c r="X6" s="162"/>
      <c r="Y6" s="19"/>
      <c r="Z6" s="22"/>
      <c r="AA6" s="22"/>
      <c r="AB6" s="22"/>
      <c r="AC6" s="22"/>
      <c r="AD6" s="20"/>
      <c r="AE6" s="92"/>
      <c r="AF6" s="106"/>
      <c r="AG6" s="107"/>
      <c r="AH6" s="180"/>
      <c r="AJ6" s="180"/>
      <c r="AK6" s="180" t="s">
        <v>366</v>
      </c>
      <c r="AL6" s="180" t="s">
        <v>367</v>
      </c>
      <c r="AM6" s="680"/>
    </row>
    <row r="7" spans="2:39" ht="38.549999999999997" customHeight="1">
      <c r="B7" s="9"/>
      <c r="C7" s="803" t="s">
        <v>1097</v>
      </c>
      <c r="D7" s="804"/>
      <c r="E7" s="804"/>
      <c r="F7" s="805"/>
      <c r="G7" s="12"/>
      <c r="H7" s="165"/>
      <c r="I7" s="9"/>
      <c r="J7" s="662">
        <v>1.1000000000000001</v>
      </c>
      <c r="K7" s="711" t="s">
        <v>231</v>
      </c>
      <c r="L7" s="711"/>
      <c r="M7" s="712"/>
      <c r="N7" s="24"/>
      <c r="O7" s="685" t="s">
        <v>922</v>
      </c>
      <c r="P7" s="687"/>
      <c r="Q7" s="128" t="b">
        <v>0</v>
      </c>
      <c r="R7" s="10"/>
      <c r="S7" s="827" t="s">
        <v>60</v>
      </c>
      <c r="T7" s="828"/>
      <c r="U7" s="828"/>
      <c r="V7" s="829"/>
      <c r="W7" s="12"/>
      <c r="X7" s="165"/>
      <c r="Y7" s="9"/>
      <c r="Z7" s="698" t="str">
        <f>IF(AF11,Feedback_List!B28,IF(AF10,Feedback_List!C28,IF(AF9,Feedback_List!C28,IF(AF8,Feedback_List!C28," "))))</f>
        <v xml:space="preserve"> </v>
      </c>
      <c r="AA7" s="699"/>
      <c r="AB7" s="699"/>
      <c r="AC7" s="700"/>
      <c r="AD7" s="12"/>
      <c r="AF7" s="117">
        <f>IF(Q7, 1, 0)</f>
        <v>0</v>
      </c>
      <c r="AG7" s="116">
        <f>IF(AF7,7,IF(AF8,4,IF(AF9,2,IF(AF10,0,0))))</f>
        <v>0</v>
      </c>
      <c r="AH7" s="733">
        <f>SUM(AG7:AG75) * AM7</f>
        <v>0</v>
      </c>
      <c r="AI7" s="116"/>
      <c r="AJ7" s="108">
        <v>1</v>
      </c>
      <c r="AK7" s="108">
        <v>70</v>
      </c>
      <c r="AL7" s="108">
        <v>15</v>
      </c>
      <c r="AM7" s="193">
        <f>AL7/AK7</f>
        <v>0.21428571428571427</v>
      </c>
    </row>
    <row r="8" spans="2:39" ht="38.549999999999997" customHeight="1">
      <c r="B8" s="9"/>
      <c r="C8" s="806"/>
      <c r="D8" s="807"/>
      <c r="E8" s="807"/>
      <c r="F8" s="808"/>
      <c r="G8" s="12"/>
      <c r="H8" s="165"/>
      <c r="I8" s="9"/>
      <c r="J8" s="663"/>
      <c r="K8" s="714"/>
      <c r="L8" s="714"/>
      <c r="M8" s="715"/>
      <c r="N8" s="24"/>
      <c r="O8" s="685" t="s">
        <v>925</v>
      </c>
      <c r="P8" s="687"/>
      <c r="Q8" s="128" t="b">
        <v>0</v>
      </c>
      <c r="R8" s="10"/>
      <c r="S8" s="830"/>
      <c r="T8" s="831"/>
      <c r="U8" s="831"/>
      <c r="V8" s="832"/>
      <c r="W8" s="12"/>
      <c r="X8" s="165"/>
      <c r="Y8" s="9"/>
      <c r="Z8" s="701"/>
      <c r="AA8" s="702"/>
      <c r="AB8" s="702"/>
      <c r="AC8" s="703"/>
      <c r="AD8" s="12"/>
      <c r="AF8" s="117">
        <f t="shared" ref="AF8:AF11" si="0">IF(Q8, 1, 0)</f>
        <v>0</v>
      </c>
      <c r="AG8" s="116"/>
      <c r="AH8" s="734"/>
      <c r="AI8" s="116"/>
      <c r="AJ8" s="108">
        <v>2</v>
      </c>
      <c r="AK8" s="108">
        <v>38</v>
      </c>
      <c r="AL8" s="179">
        <v>10</v>
      </c>
      <c r="AM8" s="193">
        <f>AL8/AK8</f>
        <v>0.26315789473684209</v>
      </c>
    </row>
    <row r="9" spans="2:39" ht="38.549999999999997" customHeight="1">
      <c r="B9" s="9"/>
      <c r="C9" s="806"/>
      <c r="D9" s="807"/>
      <c r="E9" s="807"/>
      <c r="F9" s="808"/>
      <c r="G9" s="12"/>
      <c r="H9" s="165"/>
      <c r="I9" s="9"/>
      <c r="J9" s="663"/>
      <c r="K9" s="714"/>
      <c r="L9" s="714"/>
      <c r="M9" s="715"/>
      <c r="N9" s="24"/>
      <c r="O9" s="685" t="s">
        <v>923</v>
      </c>
      <c r="P9" s="687"/>
      <c r="Q9" s="128" t="b">
        <v>0</v>
      </c>
      <c r="R9" s="10"/>
      <c r="S9" s="830"/>
      <c r="T9" s="831"/>
      <c r="U9" s="831"/>
      <c r="V9" s="832"/>
      <c r="W9" s="12"/>
      <c r="X9" s="165"/>
      <c r="Y9" s="9"/>
      <c r="Z9" s="701"/>
      <c r="AA9" s="702"/>
      <c r="AB9" s="702"/>
      <c r="AC9" s="703"/>
      <c r="AD9" s="12"/>
      <c r="AF9" s="117">
        <f t="shared" si="0"/>
        <v>0</v>
      </c>
      <c r="AG9" s="116"/>
      <c r="AH9" s="734"/>
      <c r="AI9" s="116"/>
      <c r="AJ9" s="246" t="s">
        <v>436</v>
      </c>
      <c r="AK9" s="246">
        <f>SUM(AK7:AK8)</f>
        <v>108</v>
      </c>
      <c r="AL9" s="246">
        <f>SUM(AL7:AL8)</f>
        <v>25</v>
      </c>
      <c r="AM9" s="195"/>
    </row>
    <row r="10" spans="2:39" ht="38.549999999999997" customHeight="1">
      <c r="B10" s="9"/>
      <c r="C10" s="806"/>
      <c r="D10" s="807"/>
      <c r="E10" s="807"/>
      <c r="F10" s="808"/>
      <c r="G10" s="12"/>
      <c r="H10" s="165"/>
      <c r="I10" s="9"/>
      <c r="J10" s="663"/>
      <c r="K10" s="714"/>
      <c r="L10" s="714"/>
      <c r="M10" s="715"/>
      <c r="N10" s="24"/>
      <c r="O10" s="685" t="s">
        <v>187</v>
      </c>
      <c r="P10" s="687"/>
      <c r="Q10" s="128" t="b">
        <v>0</v>
      </c>
      <c r="R10" s="10"/>
      <c r="S10" s="830"/>
      <c r="T10" s="831"/>
      <c r="U10" s="831"/>
      <c r="V10" s="832"/>
      <c r="W10" s="12"/>
      <c r="X10" s="165"/>
      <c r="Y10" s="9"/>
      <c r="Z10" s="701"/>
      <c r="AA10" s="702"/>
      <c r="AB10" s="702"/>
      <c r="AC10" s="703"/>
      <c r="AD10" s="12"/>
      <c r="AF10" s="117">
        <f t="shared" si="0"/>
        <v>0</v>
      </c>
      <c r="AG10" s="116"/>
      <c r="AH10" s="734"/>
      <c r="AJ10" s="250"/>
    </row>
    <row r="11" spans="2:39" ht="38.549999999999997" customHeight="1">
      <c r="B11" s="9"/>
      <c r="C11" s="809"/>
      <c r="D11" s="810"/>
      <c r="E11" s="810"/>
      <c r="F11" s="811"/>
      <c r="G11" s="12"/>
      <c r="H11" s="165"/>
      <c r="I11" s="9"/>
      <c r="J11" s="664"/>
      <c r="K11" s="717"/>
      <c r="L11" s="717"/>
      <c r="M11" s="718"/>
      <c r="N11" s="24"/>
      <c r="O11" s="685" t="s">
        <v>924</v>
      </c>
      <c r="P11" s="687"/>
      <c r="Q11" s="506" t="b">
        <v>0</v>
      </c>
      <c r="R11" s="10"/>
      <c r="S11" s="833"/>
      <c r="T11" s="834"/>
      <c r="U11" s="834"/>
      <c r="V11" s="835"/>
      <c r="W11" s="12"/>
      <c r="X11" s="165"/>
      <c r="Y11" s="9"/>
      <c r="Z11" s="704"/>
      <c r="AA11" s="705"/>
      <c r="AB11" s="705"/>
      <c r="AC11" s="706"/>
      <c r="AD11" s="12"/>
      <c r="AF11" s="117">
        <f t="shared" si="0"/>
        <v>0</v>
      </c>
      <c r="AG11" s="116"/>
      <c r="AH11" s="734"/>
    </row>
    <row r="12" spans="2:39">
      <c r="B12" s="9"/>
      <c r="C12" s="562"/>
      <c r="D12" s="562"/>
      <c r="E12" s="562"/>
      <c r="F12" s="562"/>
      <c r="G12" s="12"/>
      <c r="H12" s="165"/>
      <c r="I12" s="9"/>
      <c r="J12" s="174"/>
      <c r="K12" s="216"/>
      <c r="L12" s="216"/>
      <c r="M12" s="216"/>
      <c r="N12" s="10"/>
      <c r="O12" s="62"/>
      <c r="P12" s="62"/>
      <c r="Q12" s="18"/>
      <c r="R12" s="10"/>
      <c r="S12" s="10"/>
      <c r="T12" s="10"/>
      <c r="U12" s="10"/>
      <c r="V12" s="10"/>
      <c r="W12" s="12"/>
      <c r="X12" s="165"/>
      <c r="Y12" s="9"/>
      <c r="Z12" s="201"/>
      <c r="AA12" s="201"/>
      <c r="AB12" s="201"/>
      <c r="AC12" s="201"/>
      <c r="AD12" s="12"/>
      <c r="AF12" s="117"/>
      <c r="AG12" s="116"/>
      <c r="AH12" s="734"/>
    </row>
    <row r="13" spans="2:39" ht="33" customHeight="1">
      <c r="B13" s="9"/>
      <c r="C13" s="665" t="s">
        <v>1147</v>
      </c>
      <c r="D13" s="666"/>
      <c r="E13" s="666"/>
      <c r="F13" s="667"/>
      <c r="G13" s="12"/>
      <c r="H13" s="165"/>
      <c r="I13" s="9"/>
      <c r="J13" s="662">
        <v>1.2</v>
      </c>
      <c r="K13" s="710" t="s">
        <v>232</v>
      </c>
      <c r="L13" s="711"/>
      <c r="M13" s="712"/>
      <c r="N13" s="24"/>
      <c r="O13" s="685" t="s">
        <v>922</v>
      </c>
      <c r="P13" s="687"/>
      <c r="Q13" s="128" t="b">
        <v>0</v>
      </c>
      <c r="R13" s="10"/>
      <c r="S13" s="827" t="s">
        <v>60</v>
      </c>
      <c r="T13" s="828"/>
      <c r="U13" s="828"/>
      <c r="V13" s="829"/>
      <c r="W13" s="12"/>
      <c r="X13" s="165"/>
      <c r="Y13" s="9"/>
      <c r="Z13" s="698" t="str">
        <f>IF(AF17,Feedback_List!B29,IF(Milestone_3!AF16,Feedback_List!C29,IF(Milestone_3!AF15,Feedback_List!C29,IF(AF14,Feedback_List!C29," "))))</f>
        <v xml:space="preserve"> </v>
      </c>
      <c r="AA13" s="699"/>
      <c r="AB13" s="699"/>
      <c r="AC13" s="700"/>
      <c r="AD13" s="12"/>
      <c r="AF13" s="117">
        <f>IF(Q13, 1, 0)</f>
        <v>0</v>
      </c>
      <c r="AG13" s="116">
        <f>IF(AF13,7,IF(AF14,4,IF(AF15,2,IF(AF16,0,0))))</f>
        <v>0</v>
      </c>
      <c r="AH13" s="734"/>
      <c r="AL13" s="98"/>
      <c r="AM13" s="194"/>
    </row>
    <row r="14" spans="2:39" ht="33" customHeight="1">
      <c r="B14" s="9"/>
      <c r="C14" s="668"/>
      <c r="D14" s="669"/>
      <c r="E14" s="669"/>
      <c r="F14" s="670"/>
      <c r="G14" s="12"/>
      <c r="H14" s="165"/>
      <c r="I14" s="9"/>
      <c r="J14" s="663"/>
      <c r="K14" s="713"/>
      <c r="L14" s="714"/>
      <c r="M14" s="715"/>
      <c r="N14" s="24"/>
      <c r="O14" s="685" t="s">
        <v>926</v>
      </c>
      <c r="P14" s="687"/>
      <c r="Q14" s="128" t="b">
        <v>0</v>
      </c>
      <c r="R14" s="10"/>
      <c r="S14" s="830"/>
      <c r="T14" s="831"/>
      <c r="U14" s="831"/>
      <c r="V14" s="832"/>
      <c r="W14" s="12"/>
      <c r="X14" s="165"/>
      <c r="Y14" s="9"/>
      <c r="Z14" s="701"/>
      <c r="AA14" s="702"/>
      <c r="AB14" s="702"/>
      <c r="AC14" s="703"/>
      <c r="AD14" s="12"/>
      <c r="AF14" s="117">
        <f t="shared" ref="AF14:AF17" si="1">IF(Q14, 1, 0)</f>
        <v>0</v>
      </c>
      <c r="AG14" s="116"/>
      <c r="AH14" s="734"/>
    </row>
    <row r="15" spans="2:39" ht="33" customHeight="1">
      <c r="B15" s="9"/>
      <c r="C15" s="668"/>
      <c r="D15" s="669"/>
      <c r="E15" s="669"/>
      <c r="F15" s="670"/>
      <c r="G15" s="12"/>
      <c r="H15" s="165"/>
      <c r="I15" s="9"/>
      <c r="J15" s="663"/>
      <c r="K15" s="713"/>
      <c r="L15" s="714"/>
      <c r="M15" s="715"/>
      <c r="N15" s="24"/>
      <c r="O15" s="685" t="s">
        <v>923</v>
      </c>
      <c r="P15" s="687"/>
      <c r="Q15" s="128" t="b">
        <v>0</v>
      </c>
      <c r="R15" s="10"/>
      <c r="S15" s="830"/>
      <c r="T15" s="831"/>
      <c r="U15" s="831"/>
      <c r="V15" s="832"/>
      <c r="W15" s="12"/>
      <c r="X15" s="165"/>
      <c r="Y15" s="9"/>
      <c r="Z15" s="701"/>
      <c r="AA15" s="702"/>
      <c r="AB15" s="702"/>
      <c r="AC15" s="703"/>
      <c r="AD15" s="12"/>
      <c r="AF15" s="117">
        <f t="shared" si="1"/>
        <v>0</v>
      </c>
      <c r="AG15" s="116"/>
      <c r="AH15" s="734"/>
    </row>
    <row r="16" spans="2:39" ht="33" customHeight="1">
      <c r="B16" s="9"/>
      <c r="C16" s="668"/>
      <c r="D16" s="669"/>
      <c r="E16" s="669"/>
      <c r="F16" s="670"/>
      <c r="G16" s="12"/>
      <c r="H16" s="165"/>
      <c r="I16" s="9"/>
      <c r="J16" s="663"/>
      <c r="K16" s="713"/>
      <c r="L16" s="714"/>
      <c r="M16" s="715"/>
      <c r="N16" s="24"/>
      <c r="O16" s="685" t="s">
        <v>187</v>
      </c>
      <c r="P16" s="687"/>
      <c r="Q16" s="128" t="b">
        <v>0</v>
      </c>
      <c r="R16" s="10"/>
      <c r="S16" s="830"/>
      <c r="T16" s="831"/>
      <c r="U16" s="831"/>
      <c r="V16" s="832"/>
      <c r="W16" s="12"/>
      <c r="X16" s="165"/>
      <c r="Y16" s="9"/>
      <c r="Z16" s="701"/>
      <c r="AA16" s="702"/>
      <c r="AB16" s="702"/>
      <c r="AC16" s="703"/>
      <c r="AD16" s="12"/>
      <c r="AF16" s="117">
        <f t="shared" si="1"/>
        <v>0</v>
      </c>
      <c r="AG16" s="116"/>
      <c r="AH16" s="734"/>
    </row>
    <row r="17" spans="2:34" ht="33" customHeight="1">
      <c r="B17" s="9"/>
      <c r="C17" s="668"/>
      <c r="D17" s="669"/>
      <c r="E17" s="669"/>
      <c r="F17" s="670"/>
      <c r="G17" s="12"/>
      <c r="H17" s="165"/>
      <c r="I17" s="9"/>
      <c r="J17" s="664"/>
      <c r="K17" s="716"/>
      <c r="L17" s="717"/>
      <c r="M17" s="718"/>
      <c r="N17" s="24"/>
      <c r="O17" s="685" t="s">
        <v>924</v>
      </c>
      <c r="P17" s="687"/>
      <c r="Q17" s="506" t="b">
        <v>0</v>
      </c>
      <c r="R17" s="10"/>
      <c r="S17" s="833"/>
      <c r="T17" s="834"/>
      <c r="U17" s="834"/>
      <c r="V17" s="835"/>
      <c r="W17" s="12"/>
      <c r="X17" s="165"/>
      <c r="Y17" s="9"/>
      <c r="Z17" s="704"/>
      <c r="AA17" s="705"/>
      <c r="AB17" s="705"/>
      <c r="AC17" s="706"/>
      <c r="AD17" s="12"/>
      <c r="AF17" s="117">
        <f t="shared" si="1"/>
        <v>0</v>
      </c>
      <c r="AG17" s="116"/>
      <c r="AH17" s="734"/>
    </row>
    <row r="18" spans="2:34">
      <c r="B18" s="9"/>
      <c r="C18" s="668"/>
      <c r="D18" s="669"/>
      <c r="E18" s="669"/>
      <c r="F18" s="670"/>
      <c r="G18" s="12"/>
      <c r="H18" s="165"/>
      <c r="I18" s="9"/>
      <c r="J18" s="65"/>
      <c r="K18" s="216"/>
      <c r="L18" s="216"/>
      <c r="M18" s="216"/>
      <c r="N18" s="10"/>
      <c r="O18" s="62"/>
      <c r="P18" s="62"/>
      <c r="Q18" s="18"/>
      <c r="R18" s="10"/>
      <c r="S18" s="10"/>
      <c r="T18" s="10"/>
      <c r="U18" s="10"/>
      <c r="V18" s="10"/>
      <c r="W18" s="12"/>
      <c r="X18" s="165"/>
      <c r="Y18" s="9"/>
      <c r="Z18" s="201"/>
      <c r="AA18" s="201"/>
      <c r="AB18" s="201"/>
      <c r="AC18" s="201"/>
      <c r="AD18" s="12"/>
      <c r="AF18" s="117"/>
      <c r="AG18" s="116"/>
      <c r="AH18" s="734"/>
    </row>
    <row r="19" spans="2:34" ht="25.5" customHeight="1">
      <c r="B19" s="9"/>
      <c r="C19" s="668"/>
      <c r="D19" s="669"/>
      <c r="E19" s="669"/>
      <c r="F19" s="670"/>
      <c r="G19" s="12"/>
      <c r="H19" s="165"/>
      <c r="I19" s="9"/>
      <c r="J19" s="662">
        <v>1.3</v>
      </c>
      <c r="K19" s="817" t="s">
        <v>928</v>
      </c>
      <c r="L19" s="818"/>
      <c r="M19" s="819"/>
      <c r="N19" s="10"/>
      <c r="O19" s="836" t="s">
        <v>23</v>
      </c>
      <c r="P19" s="837"/>
      <c r="Q19" s="826" t="b">
        <v>0</v>
      </c>
      <c r="R19" s="10"/>
      <c r="S19" s="827" t="s">
        <v>60</v>
      </c>
      <c r="T19" s="828"/>
      <c r="U19" s="828"/>
      <c r="V19" s="829"/>
      <c r="W19" s="12"/>
      <c r="X19" s="165"/>
      <c r="Y19" s="9"/>
      <c r="Z19" s="707" t="str">
        <f>IF(AF21,Feedback_List!B30," ")</f>
        <v xml:space="preserve"> </v>
      </c>
      <c r="AA19" s="708"/>
      <c r="AB19" s="708"/>
      <c r="AC19" s="709"/>
      <c r="AD19" s="12"/>
      <c r="AF19" s="117">
        <f>IF(Q19, 1, 0)</f>
        <v>0</v>
      </c>
      <c r="AG19" s="116">
        <f>IF(AF19,5,IF(AF21,0,0))</f>
        <v>0</v>
      </c>
      <c r="AH19" s="734"/>
    </row>
    <row r="20" spans="2:34" ht="25.5" customHeight="1">
      <c r="B20" s="9"/>
      <c r="C20" s="668"/>
      <c r="D20" s="669"/>
      <c r="E20" s="669"/>
      <c r="F20" s="670"/>
      <c r="G20" s="12"/>
      <c r="H20" s="165"/>
      <c r="I20" s="9"/>
      <c r="J20" s="663"/>
      <c r="K20" s="820"/>
      <c r="L20" s="821"/>
      <c r="M20" s="822"/>
      <c r="N20" s="10"/>
      <c r="O20" s="838"/>
      <c r="P20" s="839"/>
      <c r="Q20" s="826"/>
      <c r="R20" s="10"/>
      <c r="S20" s="830"/>
      <c r="T20" s="831"/>
      <c r="U20" s="831"/>
      <c r="V20" s="832"/>
      <c r="W20" s="12"/>
      <c r="X20" s="165"/>
      <c r="Y20" s="9"/>
      <c r="Z20" s="701"/>
      <c r="AA20" s="702"/>
      <c r="AB20" s="702"/>
      <c r="AC20" s="703"/>
      <c r="AD20" s="12"/>
      <c r="AF20" s="117"/>
      <c r="AG20" s="116"/>
      <c r="AH20" s="734"/>
    </row>
    <row r="21" spans="2:34" ht="25.5" customHeight="1">
      <c r="B21" s="9"/>
      <c r="C21" s="668"/>
      <c r="D21" s="669"/>
      <c r="E21" s="669"/>
      <c r="F21" s="670"/>
      <c r="G21" s="12"/>
      <c r="H21" s="165"/>
      <c r="I21" s="9"/>
      <c r="J21" s="663"/>
      <c r="K21" s="820"/>
      <c r="L21" s="821"/>
      <c r="M21" s="822"/>
      <c r="N21" s="10"/>
      <c r="O21" s="836" t="s">
        <v>55</v>
      </c>
      <c r="P21" s="837"/>
      <c r="Q21" s="826" t="b">
        <v>0</v>
      </c>
      <c r="R21" s="10"/>
      <c r="S21" s="830"/>
      <c r="T21" s="831"/>
      <c r="U21" s="831"/>
      <c r="V21" s="832"/>
      <c r="W21" s="12"/>
      <c r="X21" s="165"/>
      <c r="Y21" s="9"/>
      <c r="Z21" s="701"/>
      <c r="AA21" s="702"/>
      <c r="AB21" s="702"/>
      <c r="AC21" s="703"/>
      <c r="AD21" s="12"/>
      <c r="AF21" s="117">
        <f>IF(Q21, 1, 0)</f>
        <v>0</v>
      </c>
      <c r="AG21" s="116"/>
      <c r="AH21" s="734"/>
    </row>
    <row r="22" spans="2:34" ht="25.5" customHeight="1">
      <c r="B22" s="9"/>
      <c r="C22" s="668"/>
      <c r="D22" s="669"/>
      <c r="E22" s="669"/>
      <c r="F22" s="670"/>
      <c r="G22" s="12"/>
      <c r="H22" s="165"/>
      <c r="I22" s="9"/>
      <c r="J22" s="664"/>
      <c r="K22" s="823"/>
      <c r="L22" s="824"/>
      <c r="M22" s="825"/>
      <c r="N22" s="10"/>
      <c r="O22" s="838"/>
      <c r="P22" s="839"/>
      <c r="Q22" s="826"/>
      <c r="R22" s="10"/>
      <c r="S22" s="833"/>
      <c r="T22" s="834"/>
      <c r="U22" s="834"/>
      <c r="V22" s="835"/>
      <c r="W22" s="12"/>
      <c r="X22" s="165"/>
      <c r="Y22" s="9"/>
      <c r="Z22" s="704"/>
      <c r="AA22" s="705"/>
      <c r="AB22" s="705"/>
      <c r="AC22" s="706"/>
      <c r="AD22" s="12"/>
      <c r="AF22" s="117"/>
      <c r="AG22" s="116"/>
      <c r="AH22" s="734"/>
    </row>
    <row r="23" spans="2:34">
      <c r="B23" s="9"/>
      <c r="C23" s="668"/>
      <c r="D23" s="669"/>
      <c r="E23" s="669"/>
      <c r="F23" s="670"/>
      <c r="G23" s="12"/>
      <c r="H23" s="165"/>
      <c r="I23" s="9"/>
      <c r="J23" s="129"/>
      <c r="K23" s="216"/>
      <c r="L23" s="216"/>
      <c r="M23" s="216"/>
      <c r="N23" s="10"/>
      <c r="O23" s="62"/>
      <c r="P23" s="62"/>
      <c r="Q23" s="18"/>
      <c r="R23" s="10"/>
      <c r="S23" s="130"/>
      <c r="T23" s="130"/>
      <c r="U23" s="130"/>
      <c r="V23" s="130"/>
      <c r="W23" s="12"/>
      <c r="X23" s="165"/>
      <c r="Y23" s="9"/>
      <c r="Z23" s="266"/>
      <c r="AA23" s="265"/>
      <c r="AB23" s="265"/>
      <c r="AC23" s="265"/>
      <c r="AD23" s="12"/>
      <c r="AF23" s="117"/>
      <c r="AG23" s="116"/>
      <c r="AH23" s="734"/>
    </row>
    <row r="24" spans="2:34" ht="37.950000000000003" customHeight="1">
      <c r="B24" s="9"/>
      <c r="C24" s="668"/>
      <c r="D24" s="669"/>
      <c r="E24" s="669"/>
      <c r="F24" s="670"/>
      <c r="G24" s="12"/>
      <c r="H24" s="165"/>
      <c r="I24" s="9"/>
      <c r="J24" s="840">
        <v>1.4</v>
      </c>
      <c r="K24" s="817" t="s">
        <v>929</v>
      </c>
      <c r="L24" s="818"/>
      <c r="M24" s="819"/>
      <c r="N24" s="10"/>
      <c r="O24" s="629" t="s">
        <v>930</v>
      </c>
      <c r="P24" s="631"/>
      <c r="Q24" s="128" t="b">
        <v>0</v>
      </c>
      <c r="R24" s="10"/>
      <c r="S24" s="827" t="s">
        <v>60</v>
      </c>
      <c r="T24" s="828"/>
      <c r="U24" s="828"/>
      <c r="V24" s="829"/>
      <c r="W24" s="12"/>
      <c r="X24" s="165"/>
      <c r="Y24" s="9"/>
      <c r="Z24" s="599" t="str">
        <f>IF(OR(AF27,AF26),Feedback_List!B31, " ")</f>
        <v xml:space="preserve"> </v>
      </c>
      <c r="AA24" s="600"/>
      <c r="AB24" s="600"/>
      <c r="AC24" s="601"/>
      <c r="AD24" s="12"/>
      <c r="AF24" s="117">
        <f>IF(Q24, 1, 0)</f>
        <v>0</v>
      </c>
      <c r="AG24" s="116">
        <f>IF(AF24,5,IF(AF25,3,IF(AF26,0,0)))</f>
        <v>0</v>
      </c>
      <c r="AH24" s="734"/>
    </row>
    <row r="25" spans="2:34" ht="37.950000000000003" customHeight="1">
      <c r="B25" s="9"/>
      <c r="C25" s="668"/>
      <c r="D25" s="669"/>
      <c r="E25" s="669"/>
      <c r="F25" s="670"/>
      <c r="G25" s="12"/>
      <c r="H25" s="165"/>
      <c r="I25" s="9"/>
      <c r="J25" s="841"/>
      <c r="K25" s="820"/>
      <c r="L25" s="821"/>
      <c r="M25" s="822"/>
      <c r="N25" s="10"/>
      <c r="O25" s="629" t="s">
        <v>931</v>
      </c>
      <c r="P25" s="631"/>
      <c r="Q25" s="128" t="b">
        <v>0</v>
      </c>
      <c r="R25" s="10"/>
      <c r="S25" s="830"/>
      <c r="T25" s="831"/>
      <c r="U25" s="831"/>
      <c r="V25" s="832"/>
      <c r="W25" s="12"/>
      <c r="X25" s="165"/>
      <c r="Y25" s="9"/>
      <c r="Z25" s="602"/>
      <c r="AA25" s="603"/>
      <c r="AB25" s="603"/>
      <c r="AC25" s="604"/>
      <c r="AD25" s="12"/>
      <c r="AF25" s="117">
        <f>IF(Q25, 1, 0)</f>
        <v>0</v>
      </c>
      <c r="AG25" s="116"/>
      <c r="AH25" s="734"/>
    </row>
    <row r="26" spans="2:34" ht="37.950000000000003" customHeight="1">
      <c r="B26" s="9"/>
      <c r="C26" s="668"/>
      <c r="D26" s="669"/>
      <c r="E26" s="669"/>
      <c r="F26" s="670"/>
      <c r="G26" s="12"/>
      <c r="H26" s="165"/>
      <c r="I26" s="9"/>
      <c r="J26" s="841"/>
      <c r="K26" s="820"/>
      <c r="L26" s="821"/>
      <c r="M26" s="822"/>
      <c r="N26" s="10"/>
      <c r="O26" s="629" t="s">
        <v>198</v>
      </c>
      <c r="P26" s="631"/>
      <c r="Q26" s="128" t="b">
        <v>0</v>
      </c>
      <c r="R26" s="10"/>
      <c r="S26" s="830"/>
      <c r="T26" s="831"/>
      <c r="U26" s="831"/>
      <c r="V26" s="832"/>
      <c r="W26" s="12"/>
      <c r="X26" s="165"/>
      <c r="Y26" s="9"/>
      <c r="Z26" s="602"/>
      <c r="AA26" s="603"/>
      <c r="AB26" s="603"/>
      <c r="AC26" s="604"/>
      <c r="AD26" s="12"/>
      <c r="AF26" s="117">
        <f t="shared" ref="AF26:AF27" si="2">IF(Q26, 1, 0)</f>
        <v>0</v>
      </c>
      <c r="AG26" s="116"/>
      <c r="AH26" s="734"/>
    </row>
    <row r="27" spans="2:34" ht="37.950000000000003" customHeight="1">
      <c r="B27" s="9"/>
      <c r="C27" s="671"/>
      <c r="D27" s="672"/>
      <c r="E27" s="672"/>
      <c r="F27" s="673"/>
      <c r="G27" s="12"/>
      <c r="H27" s="165"/>
      <c r="I27" s="9"/>
      <c r="J27" s="842"/>
      <c r="K27" s="823"/>
      <c r="L27" s="824"/>
      <c r="M27" s="825"/>
      <c r="N27" s="10"/>
      <c r="O27" s="629" t="s">
        <v>932</v>
      </c>
      <c r="P27" s="631"/>
      <c r="Q27" s="128" t="b">
        <v>0</v>
      </c>
      <c r="R27" s="10"/>
      <c r="S27" s="833"/>
      <c r="T27" s="834"/>
      <c r="U27" s="834"/>
      <c r="V27" s="835"/>
      <c r="W27" s="12"/>
      <c r="X27" s="165"/>
      <c r="Y27" s="9"/>
      <c r="Z27" s="605"/>
      <c r="AA27" s="606"/>
      <c r="AB27" s="606"/>
      <c r="AC27" s="607"/>
      <c r="AD27" s="12"/>
      <c r="AF27" s="117">
        <f t="shared" si="2"/>
        <v>0</v>
      </c>
      <c r="AG27" s="116"/>
      <c r="AH27" s="734"/>
    </row>
    <row r="28" spans="2:34">
      <c r="B28" s="9"/>
      <c r="C28" s="562"/>
      <c r="D28" s="562"/>
      <c r="E28" s="562"/>
      <c r="F28" s="562"/>
      <c r="G28" s="12"/>
      <c r="H28" s="165"/>
      <c r="I28" s="9"/>
      <c r="J28" s="65"/>
      <c r="K28" s="216"/>
      <c r="L28" s="216"/>
      <c r="M28" s="216"/>
      <c r="N28" s="10"/>
      <c r="O28" s="62"/>
      <c r="P28" s="62"/>
      <c r="Q28" s="18"/>
      <c r="R28" s="10"/>
      <c r="S28" s="130"/>
      <c r="T28" s="130"/>
      <c r="U28" s="130"/>
      <c r="V28" s="130"/>
      <c r="W28" s="12"/>
      <c r="X28" s="165"/>
      <c r="Y28" s="9"/>
      <c r="Z28" s="201"/>
      <c r="AA28" s="201"/>
      <c r="AB28" s="201"/>
      <c r="AC28" s="201"/>
      <c r="AD28" s="12"/>
      <c r="AF28" s="117"/>
      <c r="AG28" s="116"/>
      <c r="AH28" s="734"/>
    </row>
    <row r="29" spans="2:34" ht="25.5" customHeight="1">
      <c r="B29" s="9"/>
      <c r="C29" s="665" t="s">
        <v>1139</v>
      </c>
      <c r="D29" s="666"/>
      <c r="E29" s="666"/>
      <c r="F29" s="667"/>
      <c r="G29" s="12"/>
      <c r="H29" s="165"/>
      <c r="I29" s="9"/>
      <c r="J29" s="840">
        <v>1.5</v>
      </c>
      <c r="K29" s="817" t="s">
        <v>1140</v>
      </c>
      <c r="L29" s="818"/>
      <c r="M29" s="819"/>
      <c r="N29" s="10"/>
      <c r="O29" s="629" t="s">
        <v>922</v>
      </c>
      <c r="P29" s="631"/>
      <c r="Q29" s="128" t="b">
        <v>0</v>
      </c>
      <c r="R29" s="10"/>
      <c r="S29" s="827" t="s">
        <v>60</v>
      </c>
      <c r="T29" s="828"/>
      <c r="U29" s="828"/>
      <c r="V29" s="829"/>
      <c r="W29" s="12"/>
      <c r="X29" s="165"/>
      <c r="Y29" s="9"/>
      <c r="Z29" s="698" t="str">
        <f>IF(Milestone_3!AF33,Feedback_List!B32,IF(Milestone_3!AF32,Feedback_List!C32,IF(Milestone_3!AF31,Feedback_List!C32,IF(AF30,Feedback_List!C32," "))))</f>
        <v xml:space="preserve"> </v>
      </c>
      <c r="AA29" s="699"/>
      <c r="AB29" s="699"/>
      <c r="AC29" s="700"/>
      <c r="AD29" s="12"/>
      <c r="AF29" s="117">
        <f>IF(Q29, 1, 0)</f>
        <v>0</v>
      </c>
      <c r="AG29" s="116">
        <f>IF(AF29,7,IF(AF30,3,IF(AF31,2,IF(AF32,0,0))))</f>
        <v>0</v>
      </c>
      <c r="AH29" s="734"/>
    </row>
    <row r="30" spans="2:34" ht="25.5" customHeight="1">
      <c r="B30" s="9"/>
      <c r="C30" s="668"/>
      <c r="D30" s="669"/>
      <c r="E30" s="669"/>
      <c r="F30" s="670"/>
      <c r="G30" s="12"/>
      <c r="H30" s="165"/>
      <c r="I30" s="9"/>
      <c r="J30" s="841"/>
      <c r="K30" s="820"/>
      <c r="L30" s="821"/>
      <c r="M30" s="822"/>
      <c r="N30" s="10"/>
      <c r="O30" s="629" t="s">
        <v>1141</v>
      </c>
      <c r="P30" s="631"/>
      <c r="Q30" s="128" t="b">
        <v>0</v>
      </c>
      <c r="R30" s="10"/>
      <c r="S30" s="830"/>
      <c r="T30" s="831"/>
      <c r="U30" s="831"/>
      <c r="V30" s="832"/>
      <c r="W30" s="12"/>
      <c r="X30" s="165"/>
      <c r="Y30" s="9"/>
      <c r="Z30" s="701"/>
      <c r="AA30" s="702"/>
      <c r="AB30" s="702"/>
      <c r="AC30" s="703"/>
      <c r="AD30" s="12"/>
      <c r="AF30" s="117">
        <f t="shared" ref="AF30:AF33" si="3">IF(Q30, 1, 0)</f>
        <v>0</v>
      </c>
      <c r="AG30" s="116"/>
      <c r="AH30" s="734"/>
    </row>
    <row r="31" spans="2:34" ht="25.5" customHeight="1">
      <c r="B31" s="9"/>
      <c r="C31" s="668"/>
      <c r="D31" s="669"/>
      <c r="E31" s="669"/>
      <c r="F31" s="670"/>
      <c r="G31" s="12"/>
      <c r="H31" s="165"/>
      <c r="I31" s="9"/>
      <c r="J31" s="841"/>
      <c r="K31" s="820"/>
      <c r="L31" s="821"/>
      <c r="M31" s="822"/>
      <c r="N31" s="10"/>
      <c r="O31" s="629" t="s">
        <v>923</v>
      </c>
      <c r="P31" s="631"/>
      <c r="Q31" s="128" t="b">
        <v>0</v>
      </c>
      <c r="R31" s="10"/>
      <c r="S31" s="830"/>
      <c r="T31" s="831"/>
      <c r="U31" s="831"/>
      <c r="V31" s="832"/>
      <c r="W31" s="12"/>
      <c r="X31" s="165"/>
      <c r="Y31" s="9"/>
      <c r="Z31" s="701"/>
      <c r="AA31" s="702"/>
      <c r="AB31" s="702"/>
      <c r="AC31" s="703"/>
      <c r="AD31" s="12"/>
      <c r="AF31" s="117">
        <f t="shared" si="3"/>
        <v>0</v>
      </c>
      <c r="AG31" s="116"/>
      <c r="AH31" s="734"/>
    </row>
    <row r="32" spans="2:34" ht="25.5" customHeight="1">
      <c r="B32" s="9"/>
      <c r="C32" s="668"/>
      <c r="D32" s="669"/>
      <c r="E32" s="669"/>
      <c r="F32" s="670"/>
      <c r="G32" s="12"/>
      <c r="H32" s="165"/>
      <c r="I32" s="9"/>
      <c r="J32" s="841"/>
      <c r="K32" s="820"/>
      <c r="L32" s="821"/>
      <c r="M32" s="822"/>
      <c r="N32" s="10"/>
      <c r="O32" s="629" t="s">
        <v>187</v>
      </c>
      <c r="P32" s="631"/>
      <c r="Q32" s="128" t="b">
        <v>0</v>
      </c>
      <c r="R32" s="10"/>
      <c r="S32" s="830"/>
      <c r="T32" s="831"/>
      <c r="U32" s="831"/>
      <c r="V32" s="832"/>
      <c r="W32" s="12"/>
      <c r="X32" s="165"/>
      <c r="Y32" s="9"/>
      <c r="Z32" s="701"/>
      <c r="AA32" s="702"/>
      <c r="AB32" s="702"/>
      <c r="AC32" s="703"/>
      <c r="AD32" s="12"/>
      <c r="AF32" s="117">
        <f t="shared" si="3"/>
        <v>0</v>
      </c>
      <c r="AG32" s="116"/>
      <c r="AH32" s="734"/>
    </row>
    <row r="33" spans="2:34" ht="25.5" customHeight="1">
      <c r="B33" s="9"/>
      <c r="C33" s="668"/>
      <c r="D33" s="669"/>
      <c r="E33" s="669"/>
      <c r="F33" s="670"/>
      <c r="G33" s="12"/>
      <c r="H33" s="165"/>
      <c r="I33" s="9"/>
      <c r="J33" s="842"/>
      <c r="K33" s="823"/>
      <c r="L33" s="824"/>
      <c r="M33" s="825"/>
      <c r="N33" s="10"/>
      <c r="O33" s="629" t="s">
        <v>924</v>
      </c>
      <c r="P33" s="631"/>
      <c r="Q33" s="506" t="b">
        <v>0</v>
      </c>
      <c r="R33" s="10"/>
      <c r="S33" s="833"/>
      <c r="T33" s="834"/>
      <c r="U33" s="834"/>
      <c r="V33" s="835"/>
      <c r="W33" s="12"/>
      <c r="X33" s="165"/>
      <c r="Y33" s="9"/>
      <c r="Z33" s="704"/>
      <c r="AA33" s="705"/>
      <c r="AB33" s="705"/>
      <c r="AC33" s="706"/>
      <c r="AD33" s="12"/>
      <c r="AF33" s="117">
        <f t="shared" si="3"/>
        <v>0</v>
      </c>
      <c r="AG33" s="116"/>
      <c r="AH33" s="734"/>
    </row>
    <row r="34" spans="2:34">
      <c r="B34" s="9"/>
      <c r="C34" s="668"/>
      <c r="D34" s="669"/>
      <c r="E34" s="669"/>
      <c r="F34" s="670"/>
      <c r="G34" s="12"/>
      <c r="H34" s="165"/>
      <c r="I34" s="9"/>
      <c r="J34" s="65"/>
      <c r="K34" s="216"/>
      <c r="L34" s="216"/>
      <c r="M34" s="216"/>
      <c r="N34" s="10"/>
      <c r="O34" s="62"/>
      <c r="P34" s="62"/>
      <c r="Q34" s="18"/>
      <c r="R34" s="10"/>
      <c r="S34" s="10"/>
      <c r="T34" s="10"/>
      <c r="U34" s="10"/>
      <c r="V34" s="10"/>
      <c r="W34" s="12"/>
      <c r="X34" s="165"/>
      <c r="Y34" s="9"/>
      <c r="Z34" s="201"/>
      <c r="AA34" s="201"/>
      <c r="AB34" s="201"/>
      <c r="AC34" s="201"/>
      <c r="AD34" s="12"/>
      <c r="AF34" s="117"/>
      <c r="AG34" s="116"/>
      <c r="AH34" s="734"/>
    </row>
    <row r="35" spans="2:34" ht="26.55" customHeight="1">
      <c r="B35" s="9"/>
      <c r="C35" s="668"/>
      <c r="D35" s="669"/>
      <c r="E35" s="669"/>
      <c r="F35" s="670"/>
      <c r="G35" s="12"/>
      <c r="H35" s="165"/>
      <c r="I35" s="9"/>
      <c r="J35" s="840">
        <v>1.6</v>
      </c>
      <c r="K35" s="844" t="s">
        <v>1142</v>
      </c>
      <c r="L35" s="845"/>
      <c r="M35" s="846"/>
      <c r="N35" s="10"/>
      <c r="O35" s="579" t="s">
        <v>1143</v>
      </c>
      <c r="P35" s="581"/>
      <c r="Q35" s="128" t="b">
        <v>0</v>
      </c>
      <c r="R35" s="10"/>
      <c r="S35" s="827" t="s">
        <v>60</v>
      </c>
      <c r="T35" s="828"/>
      <c r="U35" s="828"/>
      <c r="V35" s="829"/>
      <c r="W35" s="12"/>
      <c r="X35" s="165"/>
      <c r="Y35" s="9"/>
      <c r="Z35" s="599" t="str">
        <f>IF(OR(AF38,AF37,AF36,AF39),Feedback_List!B33," ")</f>
        <v xml:space="preserve"> </v>
      </c>
      <c r="AA35" s="600"/>
      <c r="AB35" s="600"/>
      <c r="AC35" s="601"/>
      <c r="AD35" s="12"/>
      <c r="AF35" s="117">
        <f>IF(Q35, 1, 0)</f>
        <v>0</v>
      </c>
      <c r="AG35" s="116">
        <f>IF(AF35,5,IF(AF36,3,IF(AF37,0,0)))</f>
        <v>0</v>
      </c>
      <c r="AH35" s="734"/>
    </row>
    <row r="36" spans="2:34" ht="26.55" customHeight="1">
      <c r="B36" s="9"/>
      <c r="C36" s="668"/>
      <c r="D36" s="669"/>
      <c r="E36" s="669"/>
      <c r="F36" s="670"/>
      <c r="G36" s="12"/>
      <c r="H36" s="165"/>
      <c r="I36" s="9"/>
      <c r="J36" s="841"/>
      <c r="K36" s="847"/>
      <c r="L36" s="848"/>
      <c r="M36" s="849"/>
      <c r="N36" s="10"/>
      <c r="O36" s="629" t="s">
        <v>1144</v>
      </c>
      <c r="P36" s="631"/>
      <c r="Q36" s="128" t="b">
        <v>0</v>
      </c>
      <c r="R36" s="10"/>
      <c r="S36" s="830"/>
      <c r="T36" s="831"/>
      <c r="U36" s="831"/>
      <c r="V36" s="832"/>
      <c r="W36" s="12"/>
      <c r="X36" s="165"/>
      <c r="Y36" s="9"/>
      <c r="Z36" s="602"/>
      <c r="AA36" s="603"/>
      <c r="AB36" s="603"/>
      <c r="AC36" s="604"/>
      <c r="AD36" s="12"/>
      <c r="AF36" s="117">
        <f>IF(Q36, 1, 0)</f>
        <v>0</v>
      </c>
      <c r="AG36" s="116"/>
      <c r="AH36" s="734"/>
    </row>
    <row r="37" spans="2:34" ht="26.55" customHeight="1">
      <c r="B37" s="9"/>
      <c r="C37" s="668"/>
      <c r="D37" s="669"/>
      <c r="E37" s="669"/>
      <c r="F37" s="670"/>
      <c r="G37" s="12"/>
      <c r="H37" s="165"/>
      <c r="I37" s="9"/>
      <c r="J37" s="841"/>
      <c r="K37" s="847"/>
      <c r="L37" s="848"/>
      <c r="M37" s="849"/>
      <c r="N37" s="10"/>
      <c r="O37" s="629" t="s">
        <v>198</v>
      </c>
      <c r="P37" s="631"/>
      <c r="Q37" s="128" t="b">
        <v>0</v>
      </c>
      <c r="R37" s="10"/>
      <c r="S37" s="830"/>
      <c r="T37" s="831"/>
      <c r="U37" s="831"/>
      <c r="V37" s="832"/>
      <c r="W37" s="12"/>
      <c r="X37" s="165"/>
      <c r="Y37" s="9"/>
      <c r="Z37" s="602"/>
      <c r="AA37" s="603"/>
      <c r="AB37" s="603"/>
      <c r="AC37" s="604"/>
      <c r="AD37" s="12"/>
      <c r="AF37" s="117">
        <f t="shared" ref="AF37:AF39" si="4">IF(Q37, 1, 0)</f>
        <v>0</v>
      </c>
      <c r="AG37" s="116"/>
      <c r="AH37" s="734"/>
    </row>
    <row r="38" spans="2:34" ht="26.55" customHeight="1">
      <c r="B38" s="9"/>
      <c r="C38" s="668"/>
      <c r="D38" s="669"/>
      <c r="E38" s="669"/>
      <c r="F38" s="670"/>
      <c r="G38" s="12"/>
      <c r="H38" s="165"/>
      <c r="I38" s="9"/>
      <c r="J38" s="841"/>
      <c r="K38" s="847"/>
      <c r="L38" s="848"/>
      <c r="M38" s="849"/>
      <c r="N38" s="10"/>
      <c r="O38" s="629" t="s">
        <v>1145</v>
      </c>
      <c r="P38" s="631"/>
      <c r="Q38" s="128" t="b">
        <v>0</v>
      </c>
      <c r="R38" s="10"/>
      <c r="S38" s="830"/>
      <c r="T38" s="831"/>
      <c r="U38" s="831"/>
      <c r="V38" s="832"/>
      <c r="W38" s="12"/>
      <c r="X38" s="165"/>
      <c r="Y38" s="9"/>
      <c r="Z38" s="602"/>
      <c r="AA38" s="603"/>
      <c r="AB38" s="603"/>
      <c r="AC38" s="604"/>
      <c r="AD38" s="12"/>
      <c r="AF38" s="117">
        <f t="shared" si="4"/>
        <v>0</v>
      </c>
      <c r="AG38" s="116"/>
      <c r="AH38" s="734"/>
    </row>
    <row r="39" spans="2:34" ht="26.55" customHeight="1">
      <c r="B39" s="9"/>
      <c r="C39" s="668"/>
      <c r="D39" s="669"/>
      <c r="E39" s="669"/>
      <c r="F39" s="670"/>
      <c r="G39" s="12"/>
      <c r="H39" s="165"/>
      <c r="I39" s="9"/>
      <c r="J39" s="842"/>
      <c r="K39" s="850"/>
      <c r="L39" s="851"/>
      <c r="M39" s="852"/>
      <c r="N39" s="10"/>
      <c r="O39" s="629" t="s">
        <v>924</v>
      </c>
      <c r="P39" s="631"/>
      <c r="Q39" s="506" t="b">
        <v>0</v>
      </c>
      <c r="R39" s="10"/>
      <c r="S39" s="833"/>
      <c r="T39" s="834"/>
      <c r="U39" s="834"/>
      <c r="V39" s="835"/>
      <c r="W39" s="12"/>
      <c r="X39" s="165"/>
      <c r="Y39" s="9"/>
      <c r="Z39" s="605"/>
      <c r="AA39" s="606"/>
      <c r="AB39" s="606"/>
      <c r="AC39" s="607"/>
      <c r="AD39" s="12"/>
      <c r="AF39" s="117">
        <f t="shared" si="4"/>
        <v>0</v>
      </c>
      <c r="AG39" s="116"/>
      <c r="AH39" s="734"/>
    </row>
    <row r="40" spans="2:34" ht="26.55" customHeight="1">
      <c r="B40" s="9"/>
      <c r="C40" s="668"/>
      <c r="D40" s="669"/>
      <c r="E40" s="669"/>
      <c r="F40" s="670"/>
      <c r="G40" s="12"/>
      <c r="H40" s="165"/>
      <c r="I40" s="9"/>
      <c r="J40" s="65"/>
      <c r="K40" s="216"/>
      <c r="L40" s="216"/>
      <c r="M40" s="216"/>
      <c r="N40" s="10"/>
      <c r="O40" s="62"/>
      <c r="P40" s="62"/>
      <c r="Q40" s="18"/>
      <c r="R40" s="10"/>
      <c r="S40" s="10"/>
      <c r="T40" s="10"/>
      <c r="U40" s="10"/>
      <c r="V40" s="10"/>
      <c r="W40" s="12"/>
      <c r="X40" s="165"/>
      <c r="Y40" s="9"/>
      <c r="Z40" s="201"/>
      <c r="AA40" s="201"/>
      <c r="AB40" s="201"/>
      <c r="AC40" s="201"/>
      <c r="AD40" s="12"/>
      <c r="AF40" s="117"/>
      <c r="AG40" s="116"/>
      <c r="AH40" s="734"/>
    </row>
    <row r="41" spans="2:34" ht="26.55" customHeight="1">
      <c r="B41" s="9"/>
      <c r="C41" s="668"/>
      <c r="D41" s="669"/>
      <c r="E41" s="669"/>
      <c r="F41" s="670"/>
      <c r="G41" s="12"/>
      <c r="H41" s="165"/>
      <c r="I41" s="9"/>
      <c r="J41" s="812">
        <v>1.7</v>
      </c>
      <c r="K41" s="815" t="s">
        <v>1041</v>
      </c>
      <c r="L41" s="815"/>
      <c r="M41" s="815"/>
      <c r="N41" s="10"/>
      <c r="O41" s="629" t="s">
        <v>199</v>
      </c>
      <c r="P41" s="631"/>
      <c r="Q41" s="128" t="b">
        <v>0</v>
      </c>
      <c r="R41" s="10"/>
      <c r="S41" s="813" t="s">
        <v>60</v>
      </c>
      <c r="T41" s="813"/>
      <c r="U41" s="813"/>
      <c r="V41" s="813"/>
      <c r="W41" s="12"/>
      <c r="X41" s="165"/>
      <c r="Y41" s="9"/>
      <c r="Z41" s="814" t="str">
        <f>IF(AF44,Feedback_List!B34,IF(AF43,Feedback_List!C34, " "))</f>
        <v xml:space="preserve"> </v>
      </c>
      <c r="AA41" s="814"/>
      <c r="AB41" s="814"/>
      <c r="AC41" s="814"/>
      <c r="AD41" s="12"/>
      <c r="AF41" s="117">
        <f>IF(Q41, 1, 0)</f>
        <v>0</v>
      </c>
      <c r="AG41" s="116">
        <f>IF(AF41,5,IF(AF42,3,IF(AF43,2,IF(AF44,0,0))))</f>
        <v>0</v>
      </c>
      <c r="AH41" s="734"/>
    </row>
    <row r="42" spans="2:34" ht="39.450000000000003" customHeight="1">
      <c r="B42" s="9"/>
      <c r="C42" s="668"/>
      <c r="D42" s="669"/>
      <c r="E42" s="669"/>
      <c r="F42" s="670"/>
      <c r="G42" s="12"/>
      <c r="H42" s="165"/>
      <c r="I42" s="9"/>
      <c r="J42" s="812"/>
      <c r="K42" s="815"/>
      <c r="L42" s="815"/>
      <c r="M42" s="815"/>
      <c r="N42" s="10"/>
      <c r="O42" s="579" t="s">
        <v>1005</v>
      </c>
      <c r="P42" s="581"/>
      <c r="Q42" s="128" t="b">
        <v>0</v>
      </c>
      <c r="R42" s="10"/>
      <c r="S42" s="813"/>
      <c r="T42" s="813"/>
      <c r="U42" s="813"/>
      <c r="V42" s="813"/>
      <c r="W42" s="12"/>
      <c r="X42" s="165"/>
      <c r="Y42" s="9"/>
      <c r="Z42" s="814"/>
      <c r="AA42" s="814"/>
      <c r="AB42" s="814"/>
      <c r="AC42" s="814"/>
      <c r="AD42" s="12"/>
      <c r="AF42" s="117">
        <f t="shared" ref="AF42:AF44" si="5">IF(Q42, 1, 0)</f>
        <v>0</v>
      </c>
      <c r="AG42" s="116"/>
      <c r="AH42" s="734"/>
    </row>
    <row r="43" spans="2:34" ht="26.55" customHeight="1">
      <c r="B43" s="9"/>
      <c r="C43" s="668"/>
      <c r="D43" s="669"/>
      <c r="E43" s="669"/>
      <c r="F43" s="670"/>
      <c r="G43" s="12"/>
      <c r="H43" s="165"/>
      <c r="I43" s="9"/>
      <c r="J43" s="812"/>
      <c r="K43" s="815"/>
      <c r="L43" s="815"/>
      <c r="M43" s="815"/>
      <c r="N43" s="10"/>
      <c r="O43" s="629" t="s">
        <v>200</v>
      </c>
      <c r="P43" s="631"/>
      <c r="Q43" s="128" t="b">
        <v>0</v>
      </c>
      <c r="R43" s="10"/>
      <c r="S43" s="813"/>
      <c r="T43" s="813"/>
      <c r="U43" s="813"/>
      <c r="V43" s="813"/>
      <c r="W43" s="12"/>
      <c r="X43" s="165"/>
      <c r="Y43" s="9"/>
      <c r="Z43" s="814"/>
      <c r="AA43" s="814"/>
      <c r="AB43" s="814"/>
      <c r="AC43" s="814"/>
      <c r="AD43" s="12"/>
      <c r="AF43" s="117">
        <f t="shared" si="5"/>
        <v>0</v>
      </c>
      <c r="AG43" s="116"/>
      <c r="AH43" s="734"/>
    </row>
    <row r="44" spans="2:34" ht="26.55" customHeight="1">
      <c r="B44" s="9"/>
      <c r="C44" s="671"/>
      <c r="D44" s="672"/>
      <c r="E44" s="672"/>
      <c r="F44" s="673"/>
      <c r="G44" s="12"/>
      <c r="H44" s="165"/>
      <c r="I44" s="9"/>
      <c r="J44" s="812"/>
      <c r="K44" s="815"/>
      <c r="L44" s="815"/>
      <c r="M44" s="815"/>
      <c r="N44" s="10"/>
      <c r="O44" s="629" t="s">
        <v>187</v>
      </c>
      <c r="P44" s="631"/>
      <c r="Q44" s="128" t="b">
        <v>0</v>
      </c>
      <c r="R44" s="10"/>
      <c r="S44" s="813"/>
      <c r="T44" s="813"/>
      <c r="U44" s="813"/>
      <c r="V44" s="813"/>
      <c r="W44" s="12"/>
      <c r="X44" s="165"/>
      <c r="Y44" s="9"/>
      <c r="Z44" s="814"/>
      <c r="AA44" s="814"/>
      <c r="AB44" s="814"/>
      <c r="AC44" s="814"/>
      <c r="AD44" s="12"/>
      <c r="AF44" s="117">
        <f t="shared" si="5"/>
        <v>0</v>
      </c>
      <c r="AG44" s="116"/>
      <c r="AH44" s="734"/>
    </row>
    <row r="45" spans="2:34">
      <c r="B45" s="9"/>
      <c r="C45" s="562"/>
      <c r="D45" s="562"/>
      <c r="E45" s="562"/>
      <c r="F45" s="562"/>
      <c r="G45" s="12"/>
      <c r="H45" s="165"/>
      <c r="I45" s="9"/>
      <c r="J45" s="65"/>
      <c r="K45" s="216"/>
      <c r="L45" s="216"/>
      <c r="M45" s="216"/>
      <c r="N45" s="10"/>
      <c r="O45" s="62"/>
      <c r="P45" s="62"/>
      <c r="Q45" s="18"/>
      <c r="R45" s="10"/>
      <c r="S45" s="10"/>
      <c r="T45" s="10"/>
      <c r="U45" s="10"/>
      <c r="V45" s="10"/>
      <c r="W45" s="12"/>
      <c r="X45" s="165"/>
      <c r="Y45" s="9"/>
      <c r="Z45" s="201"/>
      <c r="AA45" s="201"/>
      <c r="AB45" s="201"/>
      <c r="AC45" s="201"/>
      <c r="AD45" s="12"/>
      <c r="AF45" s="117"/>
      <c r="AG45" s="116"/>
      <c r="AH45" s="734"/>
    </row>
    <row r="46" spans="2:34" ht="24.45" customHeight="1">
      <c r="B46" s="9"/>
      <c r="C46" s="803" t="s">
        <v>1098</v>
      </c>
      <c r="D46" s="804"/>
      <c r="E46" s="804"/>
      <c r="F46" s="805"/>
      <c r="G46" s="12"/>
      <c r="H46" s="165"/>
      <c r="I46" s="9"/>
      <c r="J46" s="840">
        <v>1.8</v>
      </c>
      <c r="K46" s="844" t="s">
        <v>233</v>
      </c>
      <c r="L46" s="845"/>
      <c r="M46" s="846"/>
      <c r="N46" s="10"/>
      <c r="O46" s="629" t="s">
        <v>922</v>
      </c>
      <c r="P46" s="631"/>
      <c r="Q46" s="128" t="b">
        <v>0</v>
      </c>
      <c r="R46" s="10"/>
      <c r="S46" s="827" t="s">
        <v>60</v>
      </c>
      <c r="T46" s="828"/>
      <c r="U46" s="828"/>
      <c r="V46" s="829"/>
      <c r="W46" s="12"/>
      <c r="X46" s="165"/>
      <c r="Y46" s="9"/>
      <c r="Z46" s="599" t="str">
        <f>IF(AF50,Feedback_List!B35,IF(Milestone_3!AF49,Feedback_List!C35,IF(Milestone_3!AF48,Feedback_List!C35,IF(AF47,Feedback_List!C35," "))))</f>
        <v xml:space="preserve"> </v>
      </c>
      <c r="AA46" s="600"/>
      <c r="AB46" s="600"/>
      <c r="AC46" s="601"/>
      <c r="AD46" s="12"/>
      <c r="AF46" s="117">
        <f t="shared" ref="AF46:AF50" si="6">IF(Q46, 1, 0)</f>
        <v>0</v>
      </c>
      <c r="AG46" s="116">
        <f>IF(AF46,7,IF(AF47,3,IF(AF48,2,IF(AF49,0,0))))</f>
        <v>0</v>
      </c>
      <c r="AH46" s="734"/>
    </row>
    <row r="47" spans="2:34" ht="24.45" customHeight="1">
      <c r="B47" s="9"/>
      <c r="C47" s="806"/>
      <c r="D47" s="807"/>
      <c r="E47" s="807"/>
      <c r="F47" s="808"/>
      <c r="G47" s="12"/>
      <c r="H47" s="165"/>
      <c r="I47" s="9"/>
      <c r="J47" s="841"/>
      <c r="K47" s="847"/>
      <c r="L47" s="848"/>
      <c r="M47" s="849"/>
      <c r="N47" s="10"/>
      <c r="O47" s="629" t="s">
        <v>927</v>
      </c>
      <c r="P47" s="631"/>
      <c r="Q47" s="128" t="b">
        <v>0</v>
      </c>
      <c r="R47" s="10"/>
      <c r="S47" s="830"/>
      <c r="T47" s="831"/>
      <c r="U47" s="831"/>
      <c r="V47" s="832"/>
      <c r="W47" s="12"/>
      <c r="X47" s="165"/>
      <c r="Y47" s="9"/>
      <c r="Z47" s="602"/>
      <c r="AA47" s="603"/>
      <c r="AB47" s="603"/>
      <c r="AC47" s="604"/>
      <c r="AD47" s="12"/>
      <c r="AF47" s="117">
        <f t="shared" si="6"/>
        <v>0</v>
      </c>
      <c r="AG47" s="116"/>
      <c r="AH47" s="734"/>
    </row>
    <row r="48" spans="2:34" ht="24.45" customHeight="1">
      <c r="B48" s="9"/>
      <c r="C48" s="806"/>
      <c r="D48" s="807"/>
      <c r="E48" s="807"/>
      <c r="F48" s="808"/>
      <c r="G48" s="12"/>
      <c r="H48" s="165"/>
      <c r="I48" s="9"/>
      <c r="J48" s="841"/>
      <c r="K48" s="847"/>
      <c r="L48" s="848"/>
      <c r="M48" s="849"/>
      <c r="N48" s="10"/>
      <c r="O48" s="629" t="s">
        <v>188</v>
      </c>
      <c r="P48" s="631"/>
      <c r="Q48" s="128" t="b">
        <v>0</v>
      </c>
      <c r="R48" s="10"/>
      <c r="S48" s="830"/>
      <c r="T48" s="831"/>
      <c r="U48" s="831"/>
      <c r="V48" s="832"/>
      <c r="W48" s="12"/>
      <c r="X48" s="165"/>
      <c r="Y48" s="9"/>
      <c r="Z48" s="602"/>
      <c r="AA48" s="603"/>
      <c r="AB48" s="603"/>
      <c r="AC48" s="604"/>
      <c r="AD48" s="12"/>
      <c r="AF48" s="117">
        <f t="shared" si="6"/>
        <v>0</v>
      </c>
      <c r="AG48" s="116"/>
      <c r="AH48" s="734"/>
    </row>
    <row r="49" spans="2:34" ht="24.45" customHeight="1">
      <c r="B49" s="9"/>
      <c r="C49" s="806"/>
      <c r="D49" s="807"/>
      <c r="E49" s="807"/>
      <c r="F49" s="808"/>
      <c r="G49" s="12"/>
      <c r="H49" s="165"/>
      <c r="I49" s="9"/>
      <c r="J49" s="841"/>
      <c r="K49" s="847"/>
      <c r="L49" s="848"/>
      <c r="M49" s="849"/>
      <c r="N49" s="10"/>
      <c r="O49" s="629" t="s">
        <v>187</v>
      </c>
      <c r="P49" s="631"/>
      <c r="Q49" s="128" t="b">
        <v>0</v>
      </c>
      <c r="R49" s="10"/>
      <c r="S49" s="830"/>
      <c r="T49" s="831"/>
      <c r="U49" s="831"/>
      <c r="V49" s="832"/>
      <c r="W49" s="12"/>
      <c r="X49" s="165"/>
      <c r="Y49" s="9"/>
      <c r="Z49" s="602"/>
      <c r="AA49" s="603"/>
      <c r="AB49" s="603"/>
      <c r="AC49" s="604"/>
      <c r="AD49" s="12"/>
      <c r="AF49" s="117">
        <f t="shared" si="6"/>
        <v>0</v>
      </c>
      <c r="AG49" s="116"/>
      <c r="AH49" s="734"/>
    </row>
    <row r="50" spans="2:34" ht="24.45" customHeight="1">
      <c r="B50" s="9"/>
      <c r="C50" s="809"/>
      <c r="D50" s="810"/>
      <c r="E50" s="810"/>
      <c r="F50" s="811"/>
      <c r="G50" s="12"/>
      <c r="H50" s="165"/>
      <c r="I50" s="9"/>
      <c r="J50" s="842"/>
      <c r="K50" s="850"/>
      <c r="L50" s="851"/>
      <c r="M50" s="852"/>
      <c r="N50" s="10"/>
      <c r="O50" s="629" t="s">
        <v>924</v>
      </c>
      <c r="P50" s="631"/>
      <c r="Q50" s="506" t="b">
        <v>0</v>
      </c>
      <c r="R50" s="10"/>
      <c r="S50" s="833"/>
      <c r="T50" s="834"/>
      <c r="U50" s="834"/>
      <c r="V50" s="835"/>
      <c r="W50" s="12"/>
      <c r="X50" s="165"/>
      <c r="Y50" s="9"/>
      <c r="Z50" s="605"/>
      <c r="AA50" s="606"/>
      <c r="AB50" s="606"/>
      <c r="AC50" s="607"/>
      <c r="AD50" s="12"/>
      <c r="AF50" s="117">
        <f t="shared" si="6"/>
        <v>0</v>
      </c>
      <c r="AG50" s="116"/>
      <c r="AH50" s="734"/>
    </row>
    <row r="51" spans="2:34" ht="24.45" customHeight="1">
      <c r="B51" s="9"/>
      <c r="C51" s="562"/>
      <c r="D51" s="562"/>
      <c r="E51" s="562"/>
      <c r="F51" s="562"/>
      <c r="G51" s="12"/>
      <c r="H51" s="165"/>
      <c r="I51" s="9"/>
      <c r="J51" s="254"/>
      <c r="K51" s="561"/>
      <c r="L51" s="561"/>
      <c r="M51" s="561"/>
      <c r="N51" s="10"/>
      <c r="O51" s="62"/>
      <c r="P51" s="62"/>
      <c r="Q51" s="18"/>
      <c r="R51" s="10"/>
      <c r="S51" s="11"/>
      <c r="T51" s="11"/>
      <c r="U51" s="11"/>
      <c r="V51" s="11"/>
      <c r="W51" s="12"/>
      <c r="X51" s="165"/>
      <c r="Y51" s="9"/>
      <c r="Z51" s="201"/>
      <c r="AA51" s="201"/>
      <c r="AB51" s="201"/>
      <c r="AC51" s="201"/>
      <c r="AD51" s="12"/>
      <c r="AF51" s="117"/>
      <c r="AG51" s="116"/>
      <c r="AH51" s="734"/>
    </row>
    <row r="52" spans="2:34" ht="29.55" customHeight="1">
      <c r="B52" s="9"/>
      <c r="C52" s="803" t="s">
        <v>1148</v>
      </c>
      <c r="D52" s="804"/>
      <c r="E52" s="804"/>
      <c r="F52" s="805"/>
      <c r="G52" s="12"/>
      <c r="H52" s="165"/>
      <c r="I52" s="9"/>
      <c r="J52" s="812">
        <v>1.9</v>
      </c>
      <c r="K52" s="868" t="s">
        <v>234</v>
      </c>
      <c r="L52" s="868"/>
      <c r="M52" s="868"/>
      <c r="N52" s="10"/>
      <c r="O52" s="559" t="s">
        <v>1093</v>
      </c>
      <c r="P52" s="560"/>
      <c r="Q52" s="506" t="b">
        <v>0</v>
      </c>
      <c r="R52" s="10"/>
      <c r="S52" s="827" t="s">
        <v>60</v>
      </c>
      <c r="T52" s="828"/>
      <c r="U52" s="828"/>
      <c r="V52" s="829"/>
      <c r="W52" s="12"/>
      <c r="X52" s="165"/>
      <c r="Y52" s="9"/>
      <c r="Z52" s="827" t="str">
        <f>IF(AF56,Feedback_List!B36,IF(AF55,Feedback_List!C36," "))</f>
        <v xml:space="preserve"> </v>
      </c>
      <c r="AA52" s="828"/>
      <c r="AB52" s="828"/>
      <c r="AC52" s="829"/>
      <c r="AD52" s="12"/>
      <c r="AF52" s="117">
        <f>IF(Q52,1,0)</f>
        <v>0</v>
      </c>
      <c r="AG52" s="116"/>
      <c r="AH52" s="734"/>
    </row>
    <row r="53" spans="2:34" ht="29.55" customHeight="1">
      <c r="B53" s="9"/>
      <c r="C53" s="806"/>
      <c r="D53" s="807"/>
      <c r="E53" s="807"/>
      <c r="F53" s="808"/>
      <c r="G53" s="12"/>
      <c r="H53" s="165"/>
      <c r="I53" s="9"/>
      <c r="J53" s="812"/>
      <c r="K53" s="868"/>
      <c r="L53" s="868"/>
      <c r="M53" s="868"/>
      <c r="N53" s="10"/>
      <c r="O53" s="629" t="s">
        <v>933</v>
      </c>
      <c r="P53" s="631"/>
      <c r="Q53" s="128" t="b">
        <v>0</v>
      </c>
      <c r="R53" s="10"/>
      <c r="S53" s="830"/>
      <c r="T53" s="831"/>
      <c r="U53" s="831"/>
      <c r="V53" s="832"/>
      <c r="W53" s="12"/>
      <c r="X53" s="165"/>
      <c r="Y53" s="9"/>
      <c r="Z53" s="830"/>
      <c r="AA53" s="831"/>
      <c r="AB53" s="831"/>
      <c r="AC53" s="832"/>
      <c r="AD53" s="12"/>
      <c r="AF53" s="117">
        <f>IF(Q53, 1, 0)</f>
        <v>0</v>
      </c>
      <c r="AG53" s="116">
        <f>IF(AF52,3,IF(AF53,3,IF(AF54,0,IF(AF55,0,0))))</f>
        <v>0</v>
      </c>
      <c r="AH53" s="734"/>
    </row>
    <row r="54" spans="2:34" ht="29.55" customHeight="1">
      <c r="B54" s="9"/>
      <c r="C54" s="806"/>
      <c r="D54" s="807"/>
      <c r="E54" s="807"/>
      <c r="F54" s="808"/>
      <c r="G54" s="12"/>
      <c r="H54" s="165"/>
      <c r="I54" s="9"/>
      <c r="J54" s="812"/>
      <c r="K54" s="868"/>
      <c r="L54" s="868"/>
      <c r="M54" s="868"/>
      <c r="N54" s="10"/>
      <c r="O54" s="629" t="s">
        <v>804</v>
      </c>
      <c r="P54" s="631"/>
      <c r="Q54" s="128" t="b">
        <v>0</v>
      </c>
      <c r="R54" s="10"/>
      <c r="S54" s="830"/>
      <c r="T54" s="831"/>
      <c r="U54" s="831"/>
      <c r="V54" s="832"/>
      <c r="W54" s="12"/>
      <c r="X54" s="165"/>
      <c r="Y54" s="9"/>
      <c r="Z54" s="830"/>
      <c r="AA54" s="831"/>
      <c r="AB54" s="831"/>
      <c r="AC54" s="832"/>
      <c r="AD54" s="12"/>
      <c r="AF54" s="117">
        <f>IF(Q54, 1, 0)</f>
        <v>0</v>
      </c>
      <c r="AG54" s="116"/>
      <c r="AH54" s="734"/>
    </row>
    <row r="55" spans="2:34" ht="29.55" customHeight="1">
      <c r="B55" s="9"/>
      <c r="C55" s="806"/>
      <c r="D55" s="807"/>
      <c r="E55" s="807"/>
      <c r="F55" s="808"/>
      <c r="G55" s="12"/>
      <c r="H55" s="165"/>
      <c r="I55" s="9"/>
      <c r="J55" s="812"/>
      <c r="K55" s="868"/>
      <c r="L55" s="868"/>
      <c r="M55" s="868"/>
      <c r="N55" s="10"/>
      <c r="O55" s="629" t="s">
        <v>201</v>
      </c>
      <c r="P55" s="631"/>
      <c r="Q55" s="128" t="b">
        <v>0</v>
      </c>
      <c r="R55" s="10"/>
      <c r="S55" s="830"/>
      <c r="T55" s="831"/>
      <c r="U55" s="831"/>
      <c r="V55" s="832"/>
      <c r="W55" s="12"/>
      <c r="X55" s="165"/>
      <c r="Y55" s="9"/>
      <c r="Z55" s="830"/>
      <c r="AA55" s="831"/>
      <c r="AB55" s="831"/>
      <c r="AC55" s="832"/>
      <c r="AD55" s="12"/>
      <c r="AF55" s="117">
        <f t="shared" ref="AF55:AF56" si="7">IF(Q55, 1, 0)</f>
        <v>0</v>
      </c>
      <c r="AG55" s="116"/>
      <c r="AH55" s="734"/>
    </row>
    <row r="56" spans="2:34" ht="29.55" customHeight="1">
      <c r="B56" s="9"/>
      <c r="C56" s="809"/>
      <c r="D56" s="810"/>
      <c r="E56" s="810"/>
      <c r="F56" s="811"/>
      <c r="G56" s="12"/>
      <c r="H56" s="165"/>
      <c r="I56" s="9"/>
      <c r="J56" s="812"/>
      <c r="K56" s="868"/>
      <c r="L56" s="868"/>
      <c r="M56" s="868"/>
      <c r="N56" s="10"/>
      <c r="O56" s="843" t="s">
        <v>187</v>
      </c>
      <c r="P56" s="843"/>
      <c r="Q56" s="128" t="b">
        <v>0</v>
      </c>
      <c r="R56" s="10"/>
      <c r="S56" s="833"/>
      <c r="T56" s="834"/>
      <c r="U56" s="834"/>
      <c r="V56" s="835"/>
      <c r="W56" s="12"/>
      <c r="X56" s="165"/>
      <c r="Y56" s="9"/>
      <c r="Z56" s="833"/>
      <c r="AA56" s="834"/>
      <c r="AB56" s="834"/>
      <c r="AC56" s="835"/>
      <c r="AD56" s="12"/>
      <c r="AF56" s="117">
        <f t="shared" si="7"/>
        <v>0</v>
      </c>
      <c r="AG56" s="116"/>
      <c r="AH56" s="734"/>
    </row>
    <row r="57" spans="2:34">
      <c r="B57" s="9"/>
      <c r="C57" s="562"/>
      <c r="D57" s="562"/>
      <c r="E57" s="562"/>
      <c r="F57" s="562"/>
      <c r="G57" s="12"/>
      <c r="H57" s="165"/>
      <c r="I57" s="9"/>
      <c r="J57" s="65"/>
      <c r="K57" s="216"/>
      <c r="L57" s="216"/>
      <c r="M57" s="216"/>
      <c r="N57" s="10"/>
      <c r="O57" s="62"/>
      <c r="P57" s="62"/>
      <c r="Q57" s="18"/>
      <c r="R57" s="10"/>
      <c r="S57" s="10"/>
      <c r="T57" s="10"/>
      <c r="U57" s="10"/>
      <c r="V57" s="10"/>
      <c r="W57" s="12"/>
      <c r="X57" s="165"/>
      <c r="Y57" s="9"/>
      <c r="Z57" s="201"/>
      <c r="AA57" s="201"/>
      <c r="AB57" s="201"/>
      <c r="AC57" s="201"/>
      <c r="AD57" s="12"/>
      <c r="AF57" s="117"/>
      <c r="AG57" s="116"/>
      <c r="AH57" s="734"/>
    </row>
    <row r="58" spans="2:34" ht="43.05" customHeight="1">
      <c r="B58" s="9"/>
      <c r="C58" s="803" t="s">
        <v>1099</v>
      </c>
      <c r="D58" s="804"/>
      <c r="E58" s="804"/>
      <c r="F58" s="805"/>
      <c r="G58" s="12"/>
      <c r="H58" s="165"/>
      <c r="I58" s="9"/>
      <c r="J58" s="816">
        <v>1.1000000000000001</v>
      </c>
      <c r="K58" s="815" t="s">
        <v>235</v>
      </c>
      <c r="L58" s="815"/>
      <c r="M58" s="815"/>
      <c r="N58" s="10"/>
      <c r="O58" s="629" t="s">
        <v>202</v>
      </c>
      <c r="P58" s="631"/>
      <c r="Q58" s="128" t="b">
        <v>0</v>
      </c>
      <c r="R58" s="10"/>
      <c r="S58" s="813" t="s">
        <v>60</v>
      </c>
      <c r="T58" s="813"/>
      <c r="U58" s="813"/>
      <c r="V58" s="813"/>
      <c r="W58" s="12"/>
      <c r="X58" s="165"/>
      <c r="Y58" s="9"/>
      <c r="Z58" s="814" t="str">
        <f>IF(AF61,Feedback_List!B37, " ")</f>
        <v xml:space="preserve"> </v>
      </c>
      <c r="AA58" s="814"/>
      <c r="AB58" s="814"/>
      <c r="AC58" s="814"/>
      <c r="AD58" s="12"/>
      <c r="AF58" s="117">
        <f>IF(Q58, 1, 0)</f>
        <v>0</v>
      </c>
      <c r="AG58" s="116">
        <f>IF(AF58,5,IF(AF59,3,IF(AF60,0,IF(AF61,0,0))))</f>
        <v>0</v>
      </c>
      <c r="AH58" s="734"/>
    </row>
    <row r="59" spans="2:34" ht="43.05" customHeight="1">
      <c r="B59" s="9"/>
      <c r="C59" s="806"/>
      <c r="D59" s="807"/>
      <c r="E59" s="807"/>
      <c r="F59" s="808"/>
      <c r="G59" s="12"/>
      <c r="H59" s="165"/>
      <c r="I59" s="9"/>
      <c r="J59" s="816"/>
      <c r="K59" s="815"/>
      <c r="L59" s="815"/>
      <c r="M59" s="815"/>
      <c r="N59" s="10"/>
      <c r="O59" s="629" t="s">
        <v>203</v>
      </c>
      <c r="P59" s="631"/>
      <c r="Q59" s="128" t="b">
        <v>0</v>
      </c>
      <c r="R59" s="10"/>
      <c r="S59" s="813"/>
      <c r="T59" s="813"/>
      <c r="U59" s="813"/>
      <c r="V59" s="813"/>
      <c r="W59" s="12"/>
      <c r="X59" s="165"/>
      <c r="Y59" s="9"/>
      <c r="Z59" s="814"/>
      <c r="AA59" s="814"/>
      <c r="AB59" s="814"/>
      <c r="AC59" s="814"/>
      <c r="AD59" s="12"/>
      <c r="AF59" s="117">
        <f t="shared" ref="AF59:AF61" si="8">IF(Q59, 1, 0)</f>
        <v>0</v>
      </c>
      <c r="AG59" s="116"/>
      <c r="AH59" s="734"/>
    </row>
    <row r="60" spans="2:34" ht="43.05" customHeight="1">
      <c r="B60" s="9"/>
      <c r="C60" s="806"/>
      <c r="D60" s="807"/>
      <c r="E60" s="807"/>
      <c r="F60" s="808"/>
      <c r="G60" s="12"/>
      <c r="H60" s="165"/>
      <c r="I60" s="9"/>
      <c r="J60" s="816"/>
      <c r="K60" s="815"/>
      <c r="L60" s="815"/>
      <c r="M60" s="815"/>
      <c r="N60" s="10"/>
      <c r="O60" s="629" t="s">
        <v>204</v>
      </c>
      <c r="P60" s="631"/>
      <c r="Q60" s="128" t="b">
        <v>0</v>
      </c>
      <c r="R60" s="10"/>
      <c r="S60" s="813"/>
      <c r="T60" s="813"/>
      <c r="U60" s="813"/>
      <c r="V60" s="813"/>
      <c r="W60" s="12"/>
      <c r="X60" s="165"/>
      <c r="Y60" s="9"/>
      <c r="Z60" s="814"/>
      <c r="AA60" s="814"/>
      <c r="AB60" s="814"/>
      <c r="AC60" s="814"/>
      <c r="AD60" s="12"/>
      <c r="AF60" s="117">
        <f t="shared" si="8"/>
        <v>0</v>
      </c>
      <c r="AG60" s="116"/>
      <c r="AH60" s="734"/>
    </row>
    <row r="61" spans="2:34" ht="43.05" customHeight="1">
      <c r="B61" s="9"/>
      <c r="C61" s="809"/>
      <c r="D61" s="810"/>
      <c r="E61" s="810"/>
      <c r="F61" s="811"/>
      <c r="G61" s="12"/>
      <c r="H61" s="165"/>
      <c r="I61" s="9"/>
      <c r="J61" s="816"/>
      <c r="K61" s="815"/>
      <c r="L61" s="815"/>
      <c r="M61" s="815"/>
      <c r="N61" s="10"/>
      <c r="O61" s="629" t="s">
        <v>187</v>
      </c>
      <c r="P61" s="631"/>
      <c r="Q61" s="128" t="b">
        <v>0</v>
      </c>
      <c r="R61" s="10"/>
      <c r="S61" s="813"/>
      <c r="T61" s="813"/>
      <c r="U61" s="813"/>
      <c r="V61" s="813"/>
      <c r="W61" s="12"/>
      <c r="X61" s="165"/>
      <c r="Y61" s="9"/>
      <c r="Z61" s="814"/>
      <c r="AA61" s="814"/>
      <c r="AB61" s="814"/>
      <c r="AC61" s="814"/>
      <c r="AD61" s="12"/>
      <c r="AF61" s="117">
        <f t="shared" si="8"/>
        <v>0</v>
      </c>
      <c r="AG61" s="116"/>
      <c r="AH61" s="734"/>
    </row>
    <row r="62" spans="2:34">
      <c r="B62" s="9"/>
      <c r="C62" s="562"/>
      <c r="D62" s="562"/>
      <c r="E62" s="562"/>
      <c r="F62" s="562"/>
      <c r="G62" s="12"/>
      <c r="H62" s="165"/>
      <c r="I62" s="9"/>
      <c r="J62" s="65"/>
      <c r="K62" s="216"/>
      <c r="L62" s="216"/>
      <c r="M62" s="216"/>
      <c r="N62" s="10"/>
      <c r="O62" s="62"/>
      <c r="P62" s="62"/>
      <c r="Q62" s="18"/>
      <c r="R62" s="10"/>
      <c r="S62" s="10"/>
      <c r="T62" s="10"/>
      <c r="U62" s="10"/>
      <c r="V62" s="10"/>
      <c r="W62" s="12"/>
      <c r="X62" s="165"/>
      <c r="Y62" s="9"/>
      <c r="Z62" s="201"/>
      <c r="AA62" s="201"/>
      <c r="AB62" s="201"/>
      <c r="AC62" s="201"/>
      <c r="AD62" s="12"/>
      <c r="AF62" s="117"/>
      <c r="AG62" s="116"/>
      <c r="AH62" s="734"/>
    </row>
    <row r="63" spans="2:34" ht="33" customHeight="1">
      <c r="B63" s="9"/>
      <c r="C63" s="803" t="s">
        <v>1100</v>
      </c>
      <c r="D63" s="804"/>
      <c r="E63" s="804"/>
      <c r="F63" s="805"/>
      <c r="G63" s="12"/>
      <c r="H63" s="165"/>
      <c r="I63" s="9"/>
      <c r="J63" s="662">
        <v>1.1100000000000001</v>
      </c>
      <c r="K63" s="859" t="s">
        <v>338</v>
      </c>
      <c r="L63" s="860"/>
      <c r="M63" s="861"/>
      <c r="N63" s="10"/>
      <c r="O63" s="595" t="s">
        <v>339</v>
      </c>
      <c r="P63" s="595"/>
      <c r="Q63" s="175" t="b">
        <v>0</v>
      </c>
      <c r="R63" s="10"/>
      <c r="S63" s="827" t="s">
        <v>60</v>
      </c>
      <c r="T63" s="828"/>
      <c r="U63" s="828"/>
      <c r="V63" s="829"/>
      <c r="W63" s="12"/>
      <c r="X63" s="165"/>
      <c r="Y63" s="9"/>
      <c r="Z63" s="698" t="str">
        <f>IF(Milestone_3!AF67,Feedback_List!B38,IF(Milestone_3!AF66,Feedback_List!C38,IF(Milestone_3!AF65,Feedback_List!C38,IF(Milestone_3!AF64,Feedback_List!C38, " "))))</f>
        <v xml:space="preserve"> </v>
      </c>
      <c r="AA63" s="699"/>
      <c r="AB63" s="699"/>
      <c r="AC63" s="700"/>
      <c r="AD63" s="12"/>
      <c r="AF63" s="117">
        <f>IF(Q63, 1, 0)</f>
        <v>0</v>
      </c>
      <c r="AG63" s="116">
        <f>IF(AF63,10,IF(AF64,7,IF(AF65,5,IF(AF66,3,IF(AF67,0,0)))))</f>
        <v>0</v>
      </c>
      <c r="AH63" s="734"/>
    </row>
    <row r="64" spans="2:34" ht="15.45" customHeight="1">
      <c r="B64" s="9"/>
      <c r="C64" s="806"/>
      <c r="D64" s="807"/>
      <c r="E64" s="807"/>
      <c r="F64" s="808"/>
      <c r="G64" s="12"/>
      <c r="H64" s="165"/>
      <c r="I64" s="9"/>
      <c r="J64" s="663"/>
      <c r="K64" s="862"/>
      <c r="L64" s="863"/>
      <c r="M64" s="864"/>
      <c r="N64" s="10"/>
      <c r="O64" s="595" t="s">
        <v>340</v>
      </c>
      <c r="P64" s="595"/>
      <c r="Q64" s="175" t="b">
        <v>0</v>
      </c>
      <c r="R64" s="10"/>
      <c r="S64" s="830"/>
      <c r="T64" s="831"/>
      <c r="U64" s="831"/>
      <c r="V64" s="832"/>
      <c r="W64" s="12"/>
      <c r="X64" s="165"/>
      <c r="Y64" s="9"/>
      <c r="Z64" s="701"/>
      <c r="AA64" s="702"/>
      <c r="AB64" s="702"/>
      <c r="AC64" s="703"/>
      <c r="AD64" s="12"/>
      <c r="AF64" s="117">
        <f t="shared" ref="AF64:AF66" si="9">IF(Q64, 1, 0)</f>
        <v>0</v>
      </c>
      <c r="AG64" s="116"/>
      <c r="AH64" s="734"/>
    </row>
    <row r="65" spans="2:34" ht="33" customHeight="1">
      <c r="B65" s="9"/>
      <c r="C65" s="806"/>
      <c r="D65" s="807"/>
      <c r="E65" s="807"/>
      <c r="F65" s="808"/>
      <c r="G65" s="12"/>
      <c r="H65" s="165"/>
      <c r="I65" s="9"/>
      <c r="J65" s="663"/>
      <c r="K65" s="862"/>
      <c r="L65" s="863"/>
      <c r="M65" s="864"/>
      <c r="N65" s="10"/>
      <c r="O65" s="595" t="s">
        <v>341</v>
      </c>
      <c r="P65" s="595"/>
      <c r="Q65" s="175" t="b">
        <v>0</v>
      </c>
      <c r="R65" s="10"/>
      <c r="S65" s="830"/>
      <c r="T65" s="831"/>
      <c r="U65" s="831"/>
      <c r="V65" s="832"/>
      <c r="W65" s="12"/>
      <c r="X65" s="165"/>
      <c r="Y65" s="9"/>
      <c r="Z65" s="701"/>
      <c r="AA65" s="702"/>
      <c r="AB65" s="702"/>
      <c r="AC65" s="703"/>
      <c r="AD65" s="12"/>
      <c r="AF65" s="117">
        <f t="shared" si="9"/>
        <v>0</v>
      </c>
      <c r="AG65" s="116"/>
      <c r="AH65" s="734"/>
    </row>
    <row r="66" spans="2:34" ht="15.45" customHeight="1">
      <c r="B66" s="9"/>
      <c r="C66" s="806"/>
      <c r="D66" s="807"/>
      <c r="E66" s="807"/>
      <c r="F66" s="808"/>
      <c r="G66" s="12"/>
      <c r="H66" s="165"/>
      <c r="I66" s="9"/>
      <c r="J66" s="663"/>
      <c r="K66" s="862"/>
      <c r="L66" s="863"/>
      <c r="M66" s="864"/>
      <c r="N66" s="10"/>
      <c r="O66" s="595" t="s">
        <v>342</v>
      </c>
      <c r="P66" s="595"/>
      <c r="Q66" s="175" t="b">
        <v>0</v>
      </c>
      <c r="R66" s="10"/>
      <c r="S66" s="830"/>
      <c r="T66" s="831"/>
      <c r="U66" s="831"/>
      <c r="V66" s="832"/>
      <c r="W66" s="12"/>
      <c r="X66" s="165"/>
      <c r="Y66" s="9"/>
      <c r="Z66" s="701"/>
      <c r="AA66" s="702"/>
      <c r="AB66" s="702"/>
      <c r="AC66" s="703"/>
      <c r="AD66" s="12"/>
      <c r="AF66" s="117">
        <f t="shared" si="9"/>
        <v>0</v>
      </c>
      <c r="AG66" s="116"/>
      <c r="AH66" s="734"/>
    </row>
    <row r="67" spans="2:34" ht="16.95" customHeight="1">
      <c r="B67" s="9"/>
      <c r="C67" s="809"/>
      <c r="D67" s="810"/>
      <c r="E67" s="810"/>
      <c r="F67" s="811"/>
      <c r="G67" s="12"/>
      <c r="H67" s="165"/>
      <c r="I67" s="9"/>
      <c r="J67" s="664"/>
      <c r="K67" s="865"/>
      <c r="L67" s="866"/>
      <c r="M67" s="867"/>
      <c r="N67" s="10"/>
      <c r="O67" s="595" t="s">
        <v>186</v>
      </c>
      <c r="P67" s="595"/>
      <c r="Q67" s="176" t="b">
        <v>0</v>
      </c>
      <c r="R67" s="10"/>
      <c r="S67" s="833"/>
      <c r="T67" s="834"/>
      <c r="U67" s="834"/>
      <c r="V67" s="835"/>
      <c r="W67" s="12"/>
      <c r="X67" s="165"/>
      <c r="Y67" s="9"/>
      <c r="Z67" s="704"/>
      <c r="AA67" s="705"/>
      <c r="AB67" s="705"/>
      <c r="AC67" s="706"/>
      <c r="AD67" s="12"/>
      <c r="AF67" s="117">
        <f>IF(Q67, 1, 0)</f>
        <v>0</v>
      </c>
      <c r="AG67" s="116"/>
      <c r="AH67" s="734"/>
    </row>
    <row r="68" spans="2:34">
      <c r="B68" s="9"/>
      <c r="C68" s="562"/>
      <c r="D68" s="562"/>
      <c r="E68" s="562"/>
      <c r="F68" s="562"/>
      <c r="G68" s="12"/>
      <c r="H68" s="165"/>
      <c r="I68" s="9"/>
      <c r="J68" s="65"/>
      <c r="K68" s="216"/>
      <c r="L68" s="216"/>
      <c r="M68" s="216"/>
      <c r="N68" s="10"/>
      <c r="O68" s="62"/>
      <c r="P68" s="62"/>
      <c r="Q68" s="18"/>
      <c r="R68" s="10"/>
      <c r="S68" s="10"/>
      <c r="T68" s="10"/>
      <c r="U68" s="10"/>
      <c r="V68" s="10"/>
      <c r="W68" s="12"/>
      <c r="X68" s="165"/>
      <c r="Y68" s="9"/>
      <c r="Z68" s="201"/>
      <c r="AA68" s="201"/>
      <c r="AB68" s="201"/>
      <c r="AC68" s="201"/>
      <c r="AD68" s="12"/>
      <c r="AF68" s="117"/>
      <c r="AG68" s="116"/>
      <c r="AH68" s="734"/>
    </row>
    <row r="69" spans="2:34" ht="15.45" customHeight="1">
      <c r="B69" s="9"/>
      <c r="C69" s="562"/>
      <c r="D69" s="562"/>
      <c r="E69" s="562"/>
      <c r="F69" s="562"/>
      <c r="G69" s="12"/>
      <c r="H69" s="165"/>
      <c r="I69" s="9"/>
      <c r="J69" s="840">
        <v>1.1200000000000001</v>
      </c>
      <c r="K69" s="844" t="s">
        <v>236</v>
      </c>
      <c r="L69" s="845"/>
      <c r="M69" s="846"/>
      <c r="N69" s="10"/>
      <c r="O69" s="629" t="s">
        <v>205</v>
      </c>
      <c r="P69" s="631"/>
      <c r="Q69" s="128" t="b">
        <v>0</v>
      </c>
      <c r="R69" s="10"/>
      <c r="S69" s="827" t="s">
        <v>60</v>
      </c>
      <c r="T69" s="828"/>
      <c r="U69" s="828"/>
      <c r="V69" s="829"/>
      <c r="W69" s="12"/>
      <c r="X69" s="165"/>
      <c r="Y69" s="9"/>
      <c r="Z69" s="827"/>
      <c r="AA69" s="828"/>
      <c r="AB69" s="828"/>
      <c r="AC69" s="829"/>
      <c r="AD69" s="12"/>
      <c r="AF69" s="117"/>
      <c r="AG69" s="116"/>
      <c r="AH69" s="734"/>
    </row>
    <row r="70" spans="2:34" ht="15.45" customHeight="1">
      <c r="B70" s="9"/>
      <c r="C70" s="562"/>
      <c r="D70" s="562"/>
      <c r="E70" s="562"/>
      <c r="F70" s="562"/>
      <c r="G70" s="12"/>
      <c r="H70" s="165"/>
      <c r="I70" s="9"/>
      <c r="J70" s="841"/>
      <c r="K70" s="847"/>
      <c r="L70" s="848"/>
      <c r="M70" s="849"/>
      <c r="N70" s="10"/>
      <c r="O70" s="629" t="s">
        <v>206</v>
      </c>
      <c r="P70" s="631"/>
      <c r="Q70" s="128" t="b">
        <v>0</v>
      </c>
      <c r="R70" s="10"/>
      <c r="S70" s="830"/>
      <c r="T70" s="831"/>
      <c r="U70" s="831"/>
      <c r="V70" s="832"/>
      <c r="W70" s="12"/>
      <c r="X70" s="165"/>
      <c r="Y70" s="9"/>
      <c r="Z70" s="830"/>
      <c r="AA70" s="831"/>
      <c r="AB70" s="831"/>
      <c r="AC70" s="832"/>
      <c r="AD70" s="12"/>
      <c r="AF70" s="117"/>
      <c r="AG70" s="116"/>
      <c r="AH70" s="734"/>
    </row>
    <row r="71" spans="2:34" ht="15.45" customHeight="1">
      <c r="B71" s="9"/>
      <c r="C71" s="562"/>
      <c r="D71" s="562"/>
      <c r="E71" s="562"/>
      <c r="F71" s="562"/>
      <c r="G71" s="12"/>
      <c r="H71" s="165"/>
      <c r="I71" s="9"/>
      <c r="J71" s="841"/>
      <c r="K71" s="847"/>
      <c r="L71" s="848"/>
      <c r="M71" s="849"/>
      <c r="N71" s="10"/>
      <c r="O71" s="629" t="s">
        <v>207</v>
      </c>
      <c r="P71" s="631"/>
      <c r="Q71" s="128" t="b">
        <v>0</v>
      </c>
      <c r="R71" s="10"/>
      <c r="S71" s="830"/>
      <c r="T71" s="831"/>
      <c r="U71" s="831"/>
      <c r="V71" s="832"/>
      <c r="W71" s="12"/>
      <c r="X71" s="165"/>
      <c r="Y71" s="9"/>
      <c r="Z71" s="830"/>
      <c r="AA71" s="831"/>
      <c r="AB71" s="831"/>
      <c r="AC71" s="832"/>
      <c r="AD71" s="12"/>
      <c r="AF71" s="117"/>
      <c r="AG71" s="116"/>
      <c r="AH71" s="734"/>
    </row>
    <row r="72" spans="2:34" ht="15.45" customHeight="1">
      <c r="B72" s="9"/>
      <c r="C72" s="562"/>
      <c r="D72" s="562"/>
      <c r="E72" s="562"/>
      <c r="F72" s="562"/>
      <c r="G72" s="12"/>
      <c r="H72" s="165"/>
      <c r="I72" s="9"/>
      <c r="J72" s="841"/>
      <c r="K72" s="847"/>
      <c r="L72" s="848"/>
      <c r="M72" s="849"/>
      <c r="N72" s="10"/>
      <c r="O72" s="629" t="s">
        <v>208</v>
      </c>
      <c r="P72" s="631"/>
      <c r="Q72" s="128" t="b">
        <v>0</v>
      </c>
      <c r="R72" s="10"/>
      <c r="S72" s="830"/>
      <c r="T72" s="831"/>
      <c r="U72" s="831"/>
      <c r="V72" s="832"/>
      <c r="W72" s="12"/>
      <c r="X72" s="165"/>
      <c r="Y72" s="9"/>
      <c r="Z72" s="830"/>
      <c r="AA72" s="831"/>
      <c r="AB72" s="831"/>
      <c r="AC72" s="832"/>
      <c r="AD72" s="12"/>
      <c r="AF72" s="117"/>
      <c r="AG72" s="116"/>
      <c r="AH72" s="734"/>
    </row>
    <row r="73" spans="2:34" ht="15.45" customHeight="1">
      <c r="B73" s="9"/>
      <c r="C73" s="562"/>
      <c r="D73" s="562"/>
      <c r="E73" s="562"/>
      <c r="F73" s="562"/>
      <c r="G73" s="12"/>
      <c r="H73" s="165"/>
      <c r="I73" s="9"/>
      <c r="J73" s="841"/>
      <c r="K73" s="847"/>
      <c r="L73" s="848"/>
      <c r="M73" s="849"/>
      <c r="N73" s="10"/>
      <c r="O73" s="629" t="s">
        <v>209</v>
      </c>
      <c r="P73" s="631"/>
      <c r="Q73" s="128" t="b">
        <v>0</v>
      </c>
      <c r="R73" s="10"/>
      <c r="S73" s="830"/>
      <c r="T73" s="831"/>
      <c r="U73" s="831"/>
      <c r="V73" s="832"/>
      <c r="W73" s="12"/>
      <c r="X73" s="165"/>
      <c r="Y73" s="9"/>
      <c r="Z73" s="830"/>
      <c r="AA73" s="831"/>
      <c r="AB73" s="831"/>
      <c r="AC73" s="832"/>
      <c r="AD73" s="12"/>
      <c r="AF73" s="117"/>
      <c r="AG73" s="116"/>
      <c r="AH73" s="734"/>
    </row>
    <row r="74" spans="2:34" ht="15.45" customHeight="1">
      <c r="B74" s="9"/>
      <c r="C74" s="562"/>
      <c r="D74" s="562"/>
      <c r="E74" s="562"/>
      <c r="F74" s="562"/>
      <c r="G74" s="12"/>
      <c r="H74" s="165"/>
      <c r="I74" s="9"/>
      <c r="J74" s="841"/>
      <c r="K74" s="847"/>
      <c r="L74" s="848"/>
      <c r="M74" s="849"/>
      <c r="N74" s="10"/>
      <c r="O74" s="629" t="s">
        <v>1146</v>
      </c>
      <c r="P74" s="631"/>
      <c r="Q74" s="128" t="b">
        <v>0</v>
      </c>
      <c r="R74" s="10"/>
      <c r="S74" s="830"/>
      <c r="T74" s="831"/>
      <c r="U74" s="831"/>
      <c r="V74" s="832"/>
      <c r="W74" s="12"/>
      <c r="X74" s="165"/>
      <c r="Y74" s="9"/>
      <c r="Z74" s="830"/>
      <c r="AA74" s="831"/>
      <c r="AB74" s="831"/>
      <c r="AC74" s="832"/>
      <c r="AD74" s="12"/>
      <c r="AF74" s="117"/>
      <c r="AG74" s="116"/>
      <c r="AH74" s="734"/>
    </row>
    <row r="75" spans="2:34" ht="15.45" customHeight="1">
      <c r="B75" s="9"/>
      <c r="C75" s="562"/>
      <c r="D75" s="562"/>
      <c r="E75" s="562"/>
      <c r="F75" s="562"/>
      <c r="G75" s="12"/>
      <c r="H75" s="165"/>
      <c r="I75" s="9"/>
      <c r="J75" s="841"/>
      <c r="K75" s="847"/>
      <c r="L75" s="848"/>
      <c r="M75" s="849"/>
      <c r="N75" s="10"/>
      <c r="O75" s="629" t="s">
        <v>1042</v>
      </c>
      <c r="P75" s="631"/>
      <c r="Q75" s="150" t="b">
        <v>0</v>
      </c>
      <c r="R75" s="10"/>
      <c r="S75" s="830"/>
      <c r="T75" s="831"/>
      <c r="U75" s="831"/>
      <c r="V75" s="832"/>
      <c r="W75" s="12"/>
      <c r="X75" s="165"/>
      <c r="Y75" s="9"/>
      <c r="Z75" s="830"/>
      <c r="AA75" s="831"/>
      <c r="AB75" s="831"/>
      <c r="AC75" s="832"/>
      <c r="AD75" s="12"/>
      <c r="AF75" s="106"/>
      <c r="AG75" s="107"/>
      <c r="AH75" s="735"/>
    </row>
    <row r="76" spans="2:34" ht="17.55" customHeight="1">
      <c r="B76" s="9"/>
      <c r="C76" s="562"/>
      <c r="D76" s="562"/>
      <c r="E76" s="562"/>
      <c r="F76" s="562"/>
      <c r="G76" s="12"/>
      <c r="H76" s="165"/>
      <c r="I76" s="9"/>
      <c r="J76" s="842"/>
      <c r="K76" s="850"/>
      <c r="L76" s="851"/>
      <c r="M76" s="852"/>
      <c r="N76" s="10"/>
      <c r="O76" s="629" t="s">
        <v>210</v>
      </c>
      <c r="P76" s="631"/>
      <c r="Q76" s="128" t="b">
        <v>0</v>
      </c>
      <c r="R76" s="10"/>
      <c r="S76" s="830"/>
      <c r="T76" s="831"/>
      <c r="U76" s="831"/>
      <c r="V76" s="832"/>
      <c r="W76" s="12"/>
      <c r="X76" s="165"/>
      <c r="Y76" s="9"/>
      <c r="Z76" s="833"/>
      <c r="AA76" s="834"/>
      <c r="AB76" s="834"/>
      <c r="AC76" s="835"/>
      <c r="AD76" s="12"/>
    </row>
    <row r="77" spans="2:34" ht="18" thickBot="1">
      <c r="B77" s="9"/>
      <c r="C77" s="10"/>
      <c r="D77" s="10"/>
      <c r="E77" s="10"/>
      <c r="F77" s="10"/>
      <c r="G77" s="12"/>
      <c r="H77" s="165"/>
      <c r="I77" s="9"/>
      <c r="J77" s="65"/>
      <c r="K77" s="216"/>
      <c r="L77" s="216"/>
      <c r="M77" s="216"/>
      <c r="N77" s="10"/>
      <c r="O77" s="62"/>
      <c r="P77" s="62"/>
      <c r="Q77" s="18"/>
      <c r="R77" s="10"/>
      <c r="S77" s="833"/>
      <c r="T77" s="834"/>
      <c r="U77" s="834"/>
      <c r="V77" s="835"/>
      <c r="W77" s="12"/>
      <c r="X77" s="165"/>
      <c r="Y77" s="9"/>
      <c r="Z77" s="201"/>
      <c r="AA77" s="201"/>
      <c r="AB77" s="201"/>
      <c r="AC77" s="201"/>
      <c r="AD77" s="12"/>
      <c r="AF77" s="123">
        <f>SUM(AF7:AF75)</f>
        <v>0</v>
      </c>
      <c r="AG77" s="123">
        <f>SUM(AG7:AG75)</f>
        <v>0</v>
      </c>
      <c r="AH77" s="123"/>
    </row>
    <row r="78" spans="2:34" ht="18" thickTop="1">
      <c r="B78" s="9"/>
      <c r="C78" s="437"/>
      <c r="D78" s="563"/>
      <c r="E78" s="563"/>
      <c r="F78" s="563"/>
      <c r="G78" s="12"/>
      <c r="H78" s="165"/>
      <c r="I78" s="9"/>
      <c r="J78" s="28" t="s">
        <v>18</v>
      </c>
      <c r="K78" s="209" t="s">
        <v>211</v>
      </c>
      <c r="L78" s="216"/>
      <c r="M78" s="216"/>
      <c r="N78" s="10"/>
      <c r="O78" s="62"/>
      <c r="P78" s="62"/>
      <c r="Q78" s="18"/>
      <c r="R78" s="10"/>
      <c r="S78" s="10"/>
      <c r="T78" s="10"/>
      <c r="U78" s="10"/>
      <c r="V78" s="10"/>
      <c r="W78" s="12"/>
      <c r="X78" s="165"/>
      <c r="Y78" s="9"/>
      <c r="Z78" s="827"/>
      <c r="AA78" s="828"/>
      <c r="AB78" s="828"/>
      <c r="AC78" s="829"/>
      <c r="AD78" s="12"/>
    </row>
    <row r="79" spans="2:34">
      <c r="B79" s="9"/>
      <c r="C79" s="563"/>
      <c r="D79" s="563"/>
      <c r="E79" s="563"/>
      <c r="F79" s="563"/>
      <c r="G79" s="12"/>
      <c r="H79" s="165"/>
      <c r="I79" s="9"/>
      <c r="J79" s="28"/>
      <c r="K79" s="209"/>
      <c r="L79" s="216"/>
      <c r="M79" s="216"/>
      <c r="N79" s="10"/>
      <c r="O79" s="62"/>
      <c r="P79" s="62"/>
      <c r="Q79" s="18"/>
      <c r="R79" s="10"/>
      <c r="S79" s="10"/>
      <c r="T79" s="10"/>
      <c r="U79" s="10"/>
      <c r="V79" s="10"/>
      <c r="W79" s="12"/>
      <c r="X79" s="165"/>
      <c r="Y79" s="9"/>
      <c r="Z79" s="830"/>
      <c r="AA79" s="831"/>
      <c r="AB79" s="831"/>
      <c r="AC79" s="832"/>
      <c r="AD79" s="12"/>
    </row>
    <row r="80" spans="2:34" ht="35.549999999999997" customHeight="1">
      <c r="B80" s="9"/>
      <c r="C80" s="803" t="s">
        <v>1149</v>
      </c>
      <c r="D80" s="804"/>
      <c r="E80" s="804"/>
      <c r="F80" s="805"/>
      <c r="G80" s="12"/>
      <c r="H80" s="165"/>
      <c r="I80" s="9"/>
      <c r="J80" s="662">
        <v>2.1</v>
      </c>
      <c r="K80" s="653" t="s">
        <v>939</v>
      </c>
      <c r="L80" s="654"/>
      <c r="M80" s="655"/>
      <c r="N80" s="10"/>
      <c r="O80" s="595" t="s">
        <v>1094</v>
      </c>
      <c r="P80" s="595"/>
      <c r="Q80" s="128" t="b">
        <v>0</v>
      </c>
      <c r="R80" s="10"/>
      <c r="S80" s="827" t="s">
        <v>60</v>
      </c>
      <c r="T80" s="828"/>
      <c r="U80" s="828"/>
      <c r="V80" s="829"/>
      <c r="W80" s="12"/>
      <c r="X80" s="165"/>
      <c r="Y80" s="9"/>
      <c r="Z80" s="830"/>
      <c r="AA80" s="831"/>
      <c r="AB80" s="831"/>
      <c r="AC80" s="832"/>
      <c r="AD80" s="12"/>
      <c r="AF80" s="177">
        <f>IF(Q80, 1, 0)</f>
        <v>0</v>
      </c>
      <c r="AG80" s="178">
        <f>IF(AF80,1,0)</f>
        <v>0</v>
      </c>
      <c r="AH80" s="733">
        <f>SUM(AG80:AG122) * AM8</f>
        <v>0</v>
      </c>
    </row>
    <row r="81" spans="2:34" ht="35.549999999999997" customHeight="1">
      <c r="B81" s="9"/>
      <c r="C81" s="806"/>
      <c r="D81" s="807"/>
      <c r="E81" s="807"/>
      <c r="F81" s="808"/>
      <c r="G81" s="12"/>
      <c r="H81" s="165"/>
      <c r="I81" s="9"/>
      <c r="J81" s="663"/>
      <c r="K81" s="656"/>
      <c r="L81" s="657"/>
      <c r="M81" s="658"/>
      <c r="N81" s="10"/>
      <c r="O81" s="595" t="s">
        <v>936</v>
      </c>
      <c r="P81" s="595"/>
      <c r="Q81" s="128" t="b">
        <v>0</v>
      </c>
      <c r="R81" s="10"/>
      <c r="S81" s="830"/>
      <c r="T81" s="831"/>
      <c r="U81" s="831"/>
      <c r="V81" s="832"/>
      <c r="W81" s="12"/>
      <c r="X81" s="165"/>
      <c r="Y81" s="9"/>
      <c r="Z81" s="830"/>
      <c r="AA81" s="831"/>
      <c r="AB81" s="831"/>
      <c r="AC81" s="832"/>
      <c r="AD81" s="12"/>
      <c r="AF81" s="117">
        <f t="shared" ref="AF81:AF84" si="10">IF(Q81, 1, 0)</f>
        <v>0</v>
      </c>
      <c r="AG81" s="116">
        <f t="shared" ref="AG81:AG83" si="11">IF(AF81,1,0)</f>
        <v>0</v>
      </c>
      <c r="AH81" s="734"/>
    </row>
    <row r="82" spans="2:34" ht="35.549999999999997" customHeight="1">
      <c r="B82" s="9"/>
      <c r="C82" s="806"/>
      <c r="D82" s="807"/>
      <c r="E82" s="807"/>
      <c r="F82" s="808"/>
      <c r="G82" s="12"/>
      <c r="H82" s="165"/>
      <c r="I82" s="9"/>
      <c r="J82" s="663"/>
      <c r="K82" s="656"/>
      <c r="L82" s="657"/>
      <c r="M82" s="658"/>
      <c r="N82" s="10"/>
      <c r="O82" s="595" t="s">
        <v>940</v>
      </c>
      <c r="P82" s="595"/>
      <c r="Q82" s="128" t="b">
        <v>0</v>
      </c>
      <c r="R82" s="10"/>
      <c r="S82" s="830"/>
      <c r="T82" s="831"/>
      <c r="U82" s="831"/>
      <c r="V82" s="832"/>
      <c r="W82" s="12"/>
      <c r="X82" s="165"/>
      <c r="Y82" s="9"/>
      <c r="Z82" s="830"/>
      <c r="AA82" s="831"/>
      <c r="AB82" s="831"/>
      <c r="AC82" s="832"/>
      <c r="AD82" s="12"/>
      <c r="AF82" s="117">
        <f t="shared" si="10"/>
        <v>0</v>
      </c>
      <c r="AG82" s="116">
        <f t="shared" si="11"/>
        <v>0</v>
      </c>
      <c r="AH82" s="734"/>
    </row>
    <row r="83" spans="2:34" ht="35.549999999999997" customHeight="1">
      <c r="B83" s="9"/>
      <c r="C83" s="806"/>
      <c r="D83" s="807"/>
      <c r="E83" s="807"/>
      <c r="F83" s="808"/>
      <c r="G83" s="12"/>
      <c r="H83" s="165"/>
      <c r="I83" s="9"/>
      <c r="J83" s="663"/>
      <c r="K83" s="656"/>
      <c r="L83" s="657"/>
      <c r="M83" s="658"/>
      <c r="N83" s="10"/>
      <c r="O83" s="595" t="s">
        <v>937</v>
      </c>
      <c r="P83" s="595"/>
      <c r="Q83" s="128" t="b">
        <v>0</v>
      </c>
      <c r="R83" s="10"/>
      <c r="S83" s="830"/>
      <c r="T83" s="831"/>
      <c r="U83" s="831"/>
      <c r="V83" s="832"/>
      <c r="W83" s="12"/>
      <c r="X83" s="165"/>
      <c r="Y83" s="9"/>
      <c r="Z83" s="830"/>
      <c r="AA83" s="831"/>
      <c r="AB83" s="831"/>
      <c r="AC83" s="832"/>
      <c r="AD83" s="12"/>
      <c r="AF83" s="117">
        <f t="shared" si="10"/>
        <v>0</v>
      </c>
      <c r="AG83" s="116">
        <f t="shared" si="11"/>
        <v>0</v>
      </c>
      <c r="AH83" s="734"/>
    </row>
    <row r="84" spans="2:34" ht="35.549999999999997" customHeight="1">
      <c r="B84" s="9"/>
      <c r="C84" s="809"/>
      <c r="D84" s="810"/>
      <c r="E84" s="810"/>
      <c r="F84" s="811"/>
      <c r="G84" s="12"/>
      <c r="H84" s="165"/>
      <c r="I84" s="9"/>
      <c r="J84" s="664"/>
      <c r="K84" s="659"/>
      <c r="L84" s="660"/>
      <c r="M84" s="661"/>
      <c r="N84" s="10"/>
      <c r="O84" s="595" t="s">
        <v>938</v>
      </c>
      <c r="P84" s="595"/>
      <c r="Q84" s="128" t="b">
        <v>0</v>
      </c>
      <c r="R84" s="10"/>
      <c r="S84" s="833"/>
      <c r="T84" s="834"/>
      <c r="U84" s="834"/>
      <c r="V84" s="835"/>
      <c r="W84" s="12"/>
      <c r="X84" s="165"/>
      <c r="Y84" s="9"/>
      <c r="Z84" s="833"/>
      <c r="AA84" s="834"/>
      <c r="AB84" s="834"/>
      <c r="AC84" s="835"/>
      <c r="AD84" s="12"/>
      <c r="AF84" s="117">
        <f t="shared" si="10"/>
        <v>0</v>
      </c>
      <c r="AG84" s="116">
        <f>IF(AF84,1,0)</f>
        <v>0</v>
      </c>
      <c r="AH84" s="734"/>
    </row>
    <row r="85" spans="2:34">
      <c r="B85" s="9"/>
      <c r="C85" s="563"/>
      <c r="D85" s="563"/>
      <c r="E85" s="563"/>
      <c r="F85" s="563"/>
      <c r="G85" s="12"/>
      <c r="H85" s="165"/>
      <c r="I85" s="9"/>
      <c r="J85" s="65"/>
      <c r="K85" s="216"/>
      <c r="L85" s="216"/>
      <c r="M85" s="216"/>
      <c r="N85" s="10"/>
      <c r="O85" s="62"/>
      <c r="P85" s="62"/>
      <c r="Q85" s="18"/>
      <c r="R85" s="10"/>
      <c r="S85" s="10"/>
      <c r="T85" s="10"/>
      <c r="U85" s="10"/>
      <c r="V85" s="10"/>
      <c r="W85" s="12"/>
      <c r="X85" s="165"/>
      <c r="Y85" s="9"/>
      <c r="Z85" s="201"/>
      <c r="AA85" s="201"/>
      <c r="AB85" s="201"/>
      <c r="AC85" s="201"/>
      <c r="AD85" s="12"/>
      <c r="AF85" s="117"/>
      <c r="AG85" s="116"/>
      <c r="AH85" s="734"/>
    </row>
    <row r="86" spans="2:34" ht="40.049999999999997" customHeight="1">
      <c r="B86" s="9"/>
      <c r="C86" s="803" t="s">
        <v>1101</v>
      </c>
      <c r="D86" s="804"/>
      <c r="E86" s="804"/>
      <c r="F86" s="805"/>
      <c r="G86" s="12"/>
      <c r="H86" s="165"/>
      <c r="I86" s="9"/>
      <c r="J86" s="812">
        <v>2.2000000000000002</v>
      </c>
      <c r="K86" s="815" t="s">
        <v>237</v>
      </c>
      <c r="L86" s="815"/>
      <c r="M86" s="815"/>
      <c r="N86" s="10"/>
      <c r="O86" s="579" t="s">
        <v>1043</v>
      </c>
      <c r="P86" s="581"/>
      <c r="Q86" s="128" t="b">
        <v>0</v>
      </c>
      <c r="R86" s="10"/>
      <c r="S86" s="827" t="s">
        <v>60</v>
      </c>
      <c r="T86" s="828"/>
      <c r="U86" s="828"/>
      <c r="V86" s="829"/>
      <c r="W86" s="12"/>
      <c r="X86" s="165"/>
      <c r="Y86" s="9"/>
      <c r="Z86" s="797" t="str">
        <f>IF(OR(AF90,AF91),Feedback_List!B41,IF(OR(AF89,AF88),Feedback_List!C41, " "))</f>
        <v xml:space="preserve"> </v>
      </c>
      <c r="AA86" s="858"/>
      <c r="AB86" s="858"/>
      <c r="AC86" s="798"/>
      <c r="AD86" s="12"/>
      <c r="AF86" s="117">
        <f>IF(Q86, 1, 0)</f>
        <v>0</v>
      </c>
      <c r="AG86" s="116">
        <f>IF(AF86,7,IF(AF87,5,IF(AF88,3,IF(AF89,2,IF(AF90,0,IF(AF91,0,0))))))</f>
        <v>0</v>
      </c>
      <c r="AH86" s="734"/>
    </row>
    <row r="87" spans="2:34" ht="40.049999999999997" customHeight="1">
      <c r="B87" s="9"/>
      <c r="C87" s="806"/>
      <c r="D87" s="807"/>
      <c r="E87" s="807"/>
      <c r="F87" s="808"/>
      <c r="G87" s="12"/>
      <c r="H87" s="165"/>
      <c r="I87" s="9"/>
      <c r="J87" s="812"/>
      <c r="K87" s="815"/>
      <c r="L87" s="815"/>
      <c r="M87" s="815"/>
      <c r="N87" s="10"/>
      <c r="O87" s="579" t="s">
        <v>1044</v>
      </c>
      <c r="P87" s="581"/>
      <c r="Q87" s="128" t="b">
        <v>0</v>
      </c>
      <c r="R87" s="10"/>
      <c r="S87" s="830"/>
      <c r="T87" s="831"/>
      <c r="U87" s="831"/>
      <c r="V87" s="832"/>
      <c r="W87" s="12"/>
      <c r="X87" s="165"/>
      <c r="Y87" s="9"/>
      <c r="Z87" s="602"/>
      <c r="AA87" s="603"/>
      <c r="AB87" s="603"/>
      <c r="AC87" s="604"/>
      <c r="AD87" s="12"/>
      <c r="AF87" s="117">
        <f>IF(Q87, 1, 0)</f>
        <v>0</v>
      </c>
      <c r="AG87" s="116"/>
      <c r="AH87" s="734"/>
    </row>
    <row r="88" spans="2:34" ht="40.049999999999997" customHeight="1">
      <c r="B88" s="9"/>
      <c r="C88" s="806"/>
      <c r="D88" s="807"/>
      <c r="E88" s="807"/>
      <c r="F88" s="808"/>
      <c r="G88" s="12"/>
      <c r="H88" s="165"/>
      <c r="I88" s="9"/>
      <c r="J88" s="812"/>
      <c r="K88" s="815"/>
      <c r="L88" s="815"/>
      <c r="M88" s="815"/>
      <c r="N88" s="10"/>
      <c r="O88" s="629" t="s">
        <v>1045</v>
      </c>
      <c r="P88" s="631"/>
      <c r="Q88" s="128" t="b">
        <v>0</v>
      </c>
      <c r="R88" s="10"/>
      <c r="S88" s="830"/>
      <c r="T88" s="831"/>
      <c r="U88" s="831"/>
      <c r="V88" s="832"/>
      <c r="W88" s="12"/>
      <c r="X88" s="165"/>
      <c r="Y88" s="9"/>
      <c r="Z88" s="602"/>
      <c r="AA88" s="603"/>
      <c r="AB88" s="603"/>
      <c r="AC88" s="604"/>
      <c r="AD88" s="12"/>
      <c r="AF88" s="117">
        <f t="shared" ref="AF88:AF91" si="12">IF(Q88, 1, 0)</f>
        <v>0</v>
      </c>
      <c r="AG88" s="116"/>
      <c r="AH88" s="734"/>
    </row>
    <row r="89" spans="2:34" ht="40.049999999999997" customHeight="1">
      <c r="B89" s="9"/>
      <c r="C89" s="806"/>
      <c r="D89" s="807"/>
      <c r="E89" s="807"/>
      <c r="F89" s="808"/>
      <c r="G89" s="12"/>
      <c r="H89" s="165"/>
      <c r="I89" s="9"/>
      <c r="J89" s="812"/>
      <c r="K89" s="815"/>
      <c r="L89" s="815"/>
      <c r="M89" s="815"/>
      <c r="N89" s="10"/>
      <c r="O89" s="629" t="s">
        <v>1046</v>
      </c>
      <c r="P89" s="631"/>
      <c r="Q89" s="128" t="b">
        <v>0</v>
      </c>
      <c r="R89" s="10"/>
      <c r="S89" s="830"/>
      <c r="T89" s="831"/>
      <c r="U89" s="831"/>
      <c r="V89" s="832"/>
      <c r="W89" s="12"/>
      <c r="X89" s="165"/>
      <c r="Y89" s="9"/>
      <c r="Z89" s="602"/>
      <c r="AA89" s="603"/>
      <c r="AB89" s="603"/>
      <c r="AC89" s="604"/>
      <c r="AD89" s="12"/>
      <c r="AF89" s="117">
        <f t="shared" si="12"/>
        <v>0</v>
      </c>
      <c r="AG89" s="116"/>
      <c r="AH89" s="734"/>
    </row>
    <row r="90" spans="2:34" ht="40.049999999999997" customHeight="1">
      <c r="B90" s="9"/>
      <c r="C90" s="806"/>
      <c r="D90" s="807"/>
      <c r="E90" s="807"/>
      <c r="F90" s="808"/>
      <c r="G90" s="12"/>
      <c r="H90" s="165"/>
      <c r="I90" s="9"/>
      <c r="J90" s="812"/>
      <c r="K90" s="815"/>
      <c r="L90" s="815"/>
      <c r="M90" s="815"/>
      <c r="N90" s="10"/>
      <c r="O90" s="629" t="s">
        <v>1047</v>
      </c>
      <c r="P90" s="631"/>
      <c r="Q90" s="128" t="b">
        <v>0</v>
      </c>
      <c r="R90" s="10"/>
      <c r="S90" s="830"/>
      <c r="T90" s="831"/>
      <c r="U90" s="831"/>
      <c r="V90" s="832"/>
      <c r="W90" s="12"/>
      <c r="X90" s="165"/>
      <c r="Y90" s="9"/>
      <c r="Z90" s="602"/>
      <c r="AA90" s="603"/>
      <c r="AB90" s="603"/>
      <c r="AC90" s="604"/>
      <c r="AD90" s="12"/>
      <c r="AF90" s="117">
        <f t="shared" si="12"/>
        <v>0</v>
      </c>
      <c r="AG90" s="116"/>
      <c r="AH90" s="734"/>
    </row>
    <row r="91" spans="2:34" ht="40.049999999999997" customHeight="1">
      <c r="B91" s="9"/>
      <c r="C91" s="809"/>
      <c r="D91" s="810"/>
      <c r="E91" s="810"/>
      <c r="F91" s="811"/>
      <c r="G91" s="12"/>
      <c r="H91" s="165"/>
      <c r="I91" s="9"/>
      <c r="J91" s="812"/>
      <c r="K91" s="815"/>
      <c r="L91" s="815"/>
      <c r="M91" s="815"/>
      <c r="N91" s="10"/>
      <c r="O91" s="629" t="s">
        <v>212</v>
      </c>
      <c r="P91" s="631"/>
      <c r="Q91" s="128" t="b">
        <v>0</v>
      </c>
      <c r="R91" s="10"/>
      <c r="S91" s="833"/>
      <c r="T91" s="834"/>
      <c r="U91" s="834"/>
      <c r="V91" s="835"/>
      <c r="W91" s="12"/>
      <c r="X91" s="165"/>
      <c r="Y91" s="9"/>
      <c r="Z91" s="605"/>
      <c r="AA91" s="606"/>
      <c r="AB91" s="606"/>
      <c r="AC91" s="607"/>
      <c r="AD91" s="12"/>
      <c r="AF91" s="117">
        <f t="shared" si="12"/>
        <v>0</v>
      </c>
      <c r="AG91" s="116"/>
      <c r="AH91" s="734"/>
    </row>
    <row r="92" spans="2:34">
      <c r="B92" s="9"/>
      <c r="C92" s="563"/>
      <c r="D92" s="563"/>
      <c r="E92" s="563"/>
      <c r="F92" s="563"/>
      <c r="G92" s="12"/>
      <c r="H92" s="165"/>
      <c r="I92" s="9"/>
      <c r="J92" s="65"/>
      <c r="K92" s="216"/>
      <c r="L92" s="216"/>
      <c r="M92" s="216"/>
      <c r="N92" s="10"/>
      <c r="O92" s="62"/>
      <c r="P92" s="62"/>
      <c r="Q92" s="18"/>
      <c r="R92" s="10"/>
      <c r="S92" s="10"/>
      <c r="T92" s="10"/>
      <c r="U92" s="10"/>
      <c r="V92" s="10"/>
      <c r="W92" s="12"/>
      <c r="X92" s="165"/>
      <c r="Y92" s="9"/>
      <c r="Z92" s="201"/>
      <c r="AA92" s="201"/>
      <c r="AB92" s="201"/>
      <c r="AC92" s="201"/>
      <c r="AD92" s="12"/>
      <c r="AF92" s="117"/>
      <c r="AG92" s="116"/>
      <c r="AH92" s="734"/>
    </row>
    <row r="93" spans="2:34" ht="37.049999999999997" customHeight="1">
      <c r="B93" s="9"/>
      <c r="C93" s="803" t="s">
        <v>1102</v>
      </c>
      <c r="D93" s="804"/>
      <c r="E93" s="804"/>
      <c r="F93" s="805"/>
      <c r="G93" s="12"/>
      <c r="H93" s="165"/>
      <c r="I93" s="9"/>
      <c r="J93" s="812">
        <v>2.2999999999999998</v>
      </c>
      <c r="K93" s="815" t="s">
        <v>238</v>
      </c>
      <c r="L93" s="815"/>
      <c r="M93" s="815"/>
      <c r="N93" s="10"/>
      <c r="O93" s="579" t="s">
        <v>214</v>
      </c>
      <c r="P93" s="581"/>
      <c r="Q93" s="128" t="b">
        <v>0</v>
      </c>
      <c r="R93" s="10"/>
      <c r="S93" s="827" t="s">
        <v>60</v>
      </c>
      <c r="T93" s="828"/>
      <c r="U93" s="828"/>
      <c r="V93" s="829"/>
      <c r="W93" s="12"/>
      <c r="X93" s="165"/>
      <c r="Y93" s="9"/>
      <c r="Z93" s="797" t="str">
        <f>IF(OR(AF96,AF95),Feedback_List!B42,IF(Milestone_3!Q94,Feedback_List!C42, " "))</f>
        <v xml:space="preserve"> </v>
      </c>
      <c r="AA93" s="858"/>
      <c r="AB93" s="858"/>
      <c r="AC93" s="798"/>
      <c r="AD93" s="12"/>
      <c r="AF93" s="117">
        <f>IF(Q93,1,0)</f>
        <v>0</v>
      </c>
      <c r="AG93" s="116">
        <f>IF(AF93,5,IF(AF94,3,IF(AF95,0,IF(AF96,0,0))))</f>
        <v>0</v>
      </c>
      <c r="AH93" s="734"/>
    </row>
    <row r="94" spans="2:34" ht="37.049999999999997" customHeight="1">
      <c r="B94" s="9"/>
      <c r="C94" s="806"/>
      <c r="D94" s="807"/>
      <c r="E94" s="807"/>
      <c r="F94" s="808"/>
      <c r="G94" s="12"/>
      <c r="H94" s="165"/>
      <c r="I94" s="9"/>
      <c r="J94" s="812"/>
      <c r="K94" s="815"/>
      <c r="L94" s="815"/>
      <c r="M94" s="815"/>
      <c r="N94" s="10"/>
      <c r="O94" s="579" t="s">
        <v>215</v>
      </c>
      <c r="P94" s="581"/>
      <c r="Q94" s="128" t="b">
        <v>0</v>
      </c>
      <c r="R94" s="10"/>
      <c r="S94" s="830"/>
      <c r="T94" s="831"/>
      <c r="U94" s="831"/>
      <c r="V94" s="832"/>
      <c r="W94" s="12"/>
      <c r="X94" s="165"/>
      <c r="Y94" s="9"/>
      <c r="Z94" s="602"/>
      <c r="AA94" s="603"/>
      <c r="AB94" s="603"/>
      <c r="AC94" s="604"/>
      <c r="AD94" s="12"/>
      <c r="AF94" s="117">
        <f t="shared" ref="AF94:AF96" si="13">IF(Q94,1,0)</f>
        <v>0</v>
      </c>
      <c r="AG94" s="116"/>
      <c r="AH94" s="734"/>
    </row>
    <row r="95" spans="2:34" ht="37.049999999999997" customHeight="1">
      <c r="B95" s="9"/>
      <c r="C95" s="806"/>
      <c r="D95" s="807"/>
      <c r="E95" s="807"/>
      <c r="F95" s="808"/>
      <c r="G95" s="12"/>
      <c r="H95" s="165"/>
      <c r="I95" s="9"/>
      <c r="J95" s="812"/>
      <c r="K95" s="815"/>
      <c r="L95" s="815"/>
      <c r="M95" s="815"/>
      <c r="N95" s="10"/>
      <c r="O95" s="579" t="s">
        <v>187</v>
      </c>
      <c r="P95" s="581"/>
      <c r="Q95" s="128" t="b">
        <v>0</v>
      </c>
      <c r="R95" s="10"/>
      <c r="S95" s="830"/>
      <c r="T95" s="831"/>
      <c r="U95" s="831"/>
      <c r="V95" s="832"/>
      <c r="W95" s="12"/>
      <c r="X95" s="165"/>
      <c r="Y95" s="9"/>
      <c r="Z95" s="602"/>
      <c r="AA95" s="603"/>
      <c r="AB95" s="603"/>
      <c r="AC95" s="604"/>
      <c r="AD95" s="12"/>
      <c r="AF95" s="117">
        <f t="shared" si="13"/>
        <v>0</v>
      </c>
      <c r="AG95" s="116"/>
      <c r="AH95" s="734"/>
    </row>
    <row r="96" spans="2:34" ht="37.049999999999997" customHeight="1">
      <c r="B96" s="9"/>
      <c r="C96" s="806"/>
      <c r="D96" s="807"/>
      <c r="E96" s="807"/>
      <c r="F96" s="808"/>
      <c r="G96" s="12"/>
      <c r="H96" s="165"/>
      <c r="I96" s="9"/>
      <c r="J96" s="812"/>
      <c r="K96" s="815"/>
      <c r="L96" s="815"/>
      <c r="M96" s="815"/>
      <c r="N96" s="10"/>
      <c r="O96" s="629" t="s">
        <v>213</v>
      </c>
      <c r="P96" s="631"/>
      <c r="Q96" s="128" t="b">
        <v>0</v>
      </c>
      <c r="R96" s="10"/>
      <c r="S96" s="833"/>
      <c r="T96" s="834"/>
      <c r="U96" s="834"/>
      <c r="V96" s="835"/>
      <c r="W96" s="12"/>
      <c r="X96" s="165"/>
      <c r="Y96" s="9"/>
      <c r="Z96" s="605"/>
      <c r="AA96" s="606"/>
      <c r="AB96" s="606"/>
      <c r="AC96" s="607"/>
      <c r="AD96" s="12"/>
      <c r="AF96" s="117">
        <f t="shared" si="13"/>
        <v>0</v>
      </c>
      <c r="AG96" s="116"/>
      <c r="AH96" s="734"/>
    </row>
    <row r="97" spans="2:34">
      <c r="B97" s="9"/>
      <c r="C97" s="806"/>
      <c r="D97" s="807"/>
      <c r="E97" s="807"/>
      <c r="F97" s="808"/>
      <c r="G97" s="12"/>
      <c r="H97" s="165"/>
      <c r="I97" s="9"/>
      <c r="J97" s="65" t="s">
        <v>620</v>
      </c>
      <c r="K97" s="216"/>
      <c r="L97" s="216"/>
      <c r="M97" s="216"/>
      <c r="N97" s="10"/>
      <c r="O97" s="62"/>
      <c r="P97" s="62"/>
      <c r="Q97" s="18"/>
      <c r="R97" s="10"/>
      <c r="S97" s="10"/>
      <c r="T97" s="10"/>
      <c r="U97" s="10"/>
      <c r="V97" s="10"/>
      <c r="W97" s="12"/>
      <c r="X97" s="165"/>
      <c r="Y97" s="9"/>
      <c r="Z97" s="201"/>
      <c r="AA97" s="201"/>
      <c r="AB97" s="201"/>
      <c r="AC97" s="201"/>
      <c r="AD97" s="12"/>
      <c r="AF97" s="117"/>
      <c r="AG97" s="116"/>
      <c r="AH97" s="734"/>
    </row>
    <row r="98" spans="2:34" ht="15.45" customHeight="1">
      <c r="B98" s="9"/>
      <c r="C98" s="806"/>
      <c r="D98" s="807"/>
      <c r="E98" s="807"/>
      <c r="F98" s="808"/>
      <c r="G98" s="12"/>
      <c r="H98" s="165"/>
      <c r="I98" s="9"/>
      <c r="J98" s="812">
        <v>2.4</v>
      </c>
      <c r="K98" s="815" t="s">
        <v>355</v>
      </c>
      <c r="L98" s="815"/>
      <c r="M98" s="815"/>
      <c r="N98" s="10"/>
      <c r="O98" s="182" t="s">
        <v>216</v>
      </c>
      <c r="P98" s="853">
        <v>0.2</v>
      </c>
      <c r="Q98" s="854"/>
      <c r="R98" s="10"/>
      <c r="S98" s="813" t="s">
        <v>60</v>
      </c>
      <c r="T98" s="813"/>
      <c r="U98" s="813"/>
      <c r="V98" s="813"/>
      <c r="W98" s="12"/>
      <c r="X98" s="165"/>
      <c r="Y98" s="9"/>
      <c r="Z98" s="595"/>
      <c r="AA98" s="595"/>
      <c r="AB98" s="595"/>
      <c r="AC98" s="595"/>
      <c r="AD98" s="12"/>
      <c r="AF98" s="117"/>
      <c r="AG98" s="116"/>
      <c r="AH98" s="734"/>
    </row>
    <row r="99" spans="2:34" ht="15">
      <c r="B99" s="9"/>
      <c r="C99" s="806"/>
      <c r="D99" s="807"/>
      <c r="E99" s="807"/>
      <c r="F99" s="808"/>
      <c r="G99" s="12"/>
      <c r="H99" s="165"/>
      <c r="I99" s="9"/>
      <c r="J99" s="812"/>
      <c r="K99" s="815"/>
      <c r="L99" s="815"/>
      <c r="M99" s="815"/>
      <c r="N99" s="10"/>
      <c r="O99" s="182" t="s">
        <v>218</v>
      </c>
      <c r="P99" s="853">
        <v>0.1</v>
      </c>
      <c r="Q99" s="854"/>
      <c r="R99" s="10"/>
      <c r="S99" s="813"/>
      <c r="T99" s="813"/>
      <c r="U99" s="813"/>
      <c r="V99" s="813"/>
      <c r="W99" s="12"/>
      <c r="X99" s="165"/>
      <c r="Y99" s="9"/>
      <c r="Z99" s="595"/>
      <c r="AA99" s="595"/>
      <c r="AB99" s="595"/>
      <c r="AC99" s="595"/>
      <c r="AD99" s="12"/>
      <c r="AF99" s="117"/>
      <c r="AG99" s="116"/>
      <c r="AH99" s="734"/>
    </row>
    <row r="100" spans="2:34" ht="15">
      <c r="B100" s="9"/>
      <c r="C100" s="806"/>
      <c r="D100" s="807"/>
      <c r="E100" s="807"/>
      <c r="F100" s="808"/>
      <c r="G100" s="12"/>
      <c r="H100" s="165"/>
      <c r="I100" s="9"/>
      <c r="J100" s="812"/>
      <c r="K100" s="815"/>
      <c r="L100" s="815"/>
      <c r="M100" s="815"/>
      <c r="N100" s="10"/>
      <c r="O100" s="182" t="s">
        <v>217</v>
      </c>
      <c r="P100" s="853">
        <v>0.05</v>
      </c>
      <c r="Q100" s="854"/>
      <c r="R100" s="10"/>
      <c r="S100" s="813"/>
      <c r="T100" s="813"/>
      <c r="U100" s="813"/>
      <c r="V100" s="813"/>
      <c r="W100" s="12"/>
      <c r="X100" s="165"/>
      <c r="Y100" s="9"/>
      <c r="Z100" s="595"/>
      <c r="AA100" s="595"/>
      <c r="AB100" s="595"/>
      <c r="AC100" s="595"/>
      <c r="AD100" s="12"/>
      <c r="AF100" s="117"/>
      <c r="AG100" s="116"/>
      <c r="AH100" s="734"/>
    </row>
    <row r="101" spans="2:34" ht="15">
      <c r="B101" s="9"/>
      <c r="C101" s="809"/>
      <c r="D101" s="810"/>
      <c r="E101" s="810"/>
      <c r="F101" s="811"/>
      <c r="G101" s="12"/>
      <c r="H101" s="165"/>
      <c r="I101" s="9"/>
      <c r="J101" s="812"/>
      <c r="K101" s="815"/>
      <c r="L101" s="815"/>
      <c r="M101" s="815"/>
      <c r="N101" s="10"/>
      <c r="O101" s="181" t="s">
        <v>171</v>
      </c>
      <c r="P101" s="853" t="s">
        <v>354</v>
      </c>
      <c r="Q101" s="854"/>
      <c r="R101" s="10"/>
      <c r="S101" s="813"/>
      <c r="T101" s="813"/>
      <c r="U101" s="813"/>
      <c r="V101" s="813"/>
      <c r="W101" s="12"/>
      <c r="X101" s="165"/>
      <c r="Y101" s="9"/>
      <c r="Z101" s="595"/>
      <c r="AA101" s="595"/>
      <c r="AB101" s="595"/>
      <c r="AC101" s="595"/>
      <c r="AD101" s="12"/>
      <c r="AF101" s="117"/>
      <c r="AG101" s="116"/>
      <c r="AH101" s="734"/>
    </row>
    <row r="102" spans="2:34">
      <c r="B102" s="9"/>
      <c r="C102" s="563"/>
      <c r="D102" s="563"/>
      <c r="E102" s="563"/>
      <c r="F102" s="563"/>
      <c r="G102" s="12"/>
      <c r="H102" s="165"/>
      <c r="I102" s="9"/>
      <c r="J102" s="65"/>
      <c r="K102" s="216"/>
      <c r="L102" s="216"/>
      <c r="M102" s="216"/>
      <c r="N102" s="10"/>
      <c r="O102" s="62"/>
      <c r="P102" s="62"/>
      <c r="Q102" s="18"/>
      <c r="R102" s="10"/>
      <c r="S102" s="10"/>
      <c r="T102" s="10"/>
      <c r="U102" s="10"/>
      <c r="V102" s="10"/>
      <c r="W102" s="12"/>
      <c r="X102" s="165"/>
      <c r="Y102" s="9"/>
      <c r="Z102" s="201"/>
      <c r="AA102" s="201"/>
      <c r="AB102" s="201"/>
      <c r="AC102" s="201"/>
      <c r="AD102" s="12"/>
      <c r="AF102" s="117"/>
      <c r="AG102" s="116"/>
      <c r="AH102" s="734"/>
    </row>
    <row r="103" spans="2:34" ht="15.45" customHeight="1">
      <c r="B103" s="9"/>
      <c r="C103" s="803" t="s">
        <v>1103</v>
      </c>
      <c r="D103" s="804"/>
      <c r="E103" s="804"/>
      <c r="F103" s="805"/>
      <c r="G103" s="12"/>
      <c r="H103" s="165"/>
      <c r="I103" s="9"/>
      <c r="J103" s="840">
        <v>2.5</v>
      </c>
      <c r="K103" s="817" t="s">
        <v>327</v>
      </c>
      <c r="L103" s="818"/>
      <c r="M103" s="819"/>
      <c r="N103" s="10"/>
      <c r="O103" s="843" t="s">
        <v>221</v>
      </c>
      <c r="P103" s="843"/>
      <c r="Q103" s="128" t="b">
        <v>0</v>
      </c>
      <c r="R103" s="10"/>
      <c r="S103" s="827" t="s">
        <v>60</v>
      </c>
      <c r="T103" s="828"/>
      <c r="U103" s="828"/>
      <c r="V103" s="829"/>
      <c r="W103" s="12"/>
      <c r="X103" s="165"/>
      <c r="Y103" s="9"/>
      <c r="Z103" s="599" t="str">
        <f>IF(AF106,Feedback_List!B44, " ")</f>
        <v xml:space="preserve"> </v>
      </c>
      <c r="AA103" s="600"/>
      <c r="AB103" s="600"/>
      <c r="AC103" s="601"/>
      <c r="AD103" s="12"/>
      <c r="AF103" s="117">
        <f>IF(Q103,1,0)</f>
        <v>0</v>
      </c>
      <c r="AG103" s="116">
        <f>IF(AF103,3,0)</f>
        <v>0</v>
      </c>
      <c r="AH103" s="734"/>
    </row>
    <row r="104" spans="2:34" ht="15.45" customHeight="1">
      <c r="B104" s="9"/>
      <c r="C104" s="806"/>
      <c r="D104" s="807"/>
      <c r="E104" s="807"/>
      <c r="F104" s="808"/>
      <c r="G104" s="12"/>
      <c r="H104" s="165"/>
      <c r="I104" s="9"/>
      <c r="J104" s="841"/>
      <c r="K104" s="820"/>
      <c r="L104" s="821"/>
      <c r="M104" s="822"/>
      <c r="N104" s="10"/>
      <c r="O104" s="843" t="s">
        <v>222</v>
      </c>
      <c r="P104" s="843"/>
      <c r="Q104" s="128" t="b">
        <v>0</v>
      </c>
      <c r="R104" s="10"/>
      <c r="S104" s="830"/>
      <c r="T104" s="831"/>
      <c r="U104" s="831"/>
      <c r="V104" s="832"/>
      <c r="W104" s="12"/>
      <c r="X104" s="165"/>
      <c r="Y104" s="9"/>
      <c r="Z104" s="602"/>
      <c r="AA104" s="603"/>
      <c r="AB104" s="603"/>
      <c r="AC104" s="604"/>
      <c r="AD104" s="12"/>
      <c r="AF104" s="117">
        <f t="shared" ref="AF104:AF105" si="14">IF(Q104,1,0)</f>
        <v>0</v>
      </c>
      <c r="AG104" s="116">
        <f t="shared" ref="AG104:AG105" si="15">IF(AF104,3,0)</f>
        <v>0</v>
      </c>
      <c r="AH104" s="734"/>
    </row>
    <row r="105" spans="2:34" ht="15.45" customHeight="1">
      <c r="B105" s="9"/>
      <c r="C105" s="806"/>
      <c r="D105" s="807"/>
      <c r="E105" s="807"/>
      <c r="F105" s="808"/>
      <c r="G105" s="12"/>
      <c r="H105" s="165"/>
      <c r="I105" s="9"/>
      <c r="J105" s="841"/>
      <c r="K105" s="820"/>
      <c r="L105" s="821"/>
      <c r="M105" s="822"/>
      <c r="N105" s="10"/>
      <c r="O105" s="843" t="s">
        <v>223</v>
      </c>
      <c r="P105" s="843"/>
      <c r="Q105" s="128" t="b">
        <v>0</v>
      </c>
      <c r="R105" s="10"/>
      <c r="S105" s="830"/>
      <c r="T105" s="831"/>
      <c r="U105" s="831"/>
      <c r="V105" s="832"/>
      <c r="W105" s="12"/>
      <c r="X105" s="165"/>
      <c r="Y105" s="9"/>
      <c r="Z105" s="602"/>
      <c r="AA105" s="603"/>
      <c r="AB105" s="603"/>
      <c r="AC105" s="604"/>
      <c r="AD105" s="12"/>
      <c r="AF105" s="117">
        <f t="shared" si="14"/>
        <v>0</v>
      </c>
      <c r="AG105" s="116">
        <f t="shared" si="15"/>
        <v>0</v>
      </c>
      <c r="AH105" s="734"/>
    </row>
    <row r="106" spans="2:34" ht="15.45" customHeight="1">
      <c r="B106" s="9"/>
      <c r="C106" s="806"/>
      <c r="D106" s="807"/>
      <c r="E106" s="807"/>
      <c r="F106" s="808"/>
      <c r="G106" s="12"/>
      <c r="H106" s="165"/>
      <c r="I106" s="9"/>
      <c r="J106" s="841"/>
      <c r="K106" s="820"/>
      <c r="L106" s="821"/>
      <c r="M106" s="822"/>
      <c r="N106" s="10"/>
      <c r="O106" s="843" t="s">
        <v>224</v>
      </c>
      <c r="P106" s="843"/>
      <c r="Q106" s="128" t="b">
        <v>0</v>
      </c>
      <c r="R106" s="10"/>
      <c r="S106" s="830"/>
      <c r="T106" s="831"/>
      <c r="U106" s="831"/>
      <c r="V106" s="832"/>
      <c r="W106" s="12"/>
      <c r="X106" s="165"/>
      <c r="Y106" s="9"/>
      <c r="Z106" s="602"/>
      <c r="AA106" s="603"/>
      <c r="AB106" s="603"/>
      <c r="AC106" s="604"/>
      <c r="AD106" s="12"/>
      <c r="AF106" s="117">
        <f>IF(Q106,1,0)</f>
        <v>0</v>
      </c>
      <c r="AG106" s="116"/>
      <c r="AH106" s="734"/>
    </row>
    <row r="107" spans="2:34" ht="15.45" customHeight="1">
      <c r="B107" s="9"/>
      <c r="C107" s="806"/>
      <c r="D107" s="807"/>
      <c r="E107" s="807"/>
      <c r="F107" s="808"/>
      <c r="G107" s="12"/>
      <c r="H107" s="165"/>
      <c r="I107" s="9"/>
      <c r="J107" s="841"/>
      <c r="K107" s="820"/>
      <c r="L107" s="821"/>
      <c r="M107" s="822"/>
      <c r="N107" s="10"/>
      <c r="O107" s="843" t="s">
        <v>220</v>
      </c>
      <c r="P107" s="843"/>
      <c r="Q107" s="128" t="b">
        <v>0</v>
      </c>
      <c r="R107" s="10"/>
      <c r="S107" s="830"/>
      <c r="T107" s="831"/>
      <c r="U107" s="831"/>
      <c r="V107" s="832"/>
      <c r="W107" s="12"/>
      <c r="X107" s="165"/>
      <c r="Y107" s="9"/>
      <c r="Z107" s="602"/>
      <c r="AA107" s="603"/>
      <c r="AB107" s="603"/>
      <c r="AC107" s="604"/>
      <c r="AD107" s="12"/>
      <c r="AF107" s="117">
        <f>IF(Q107,1,0)</f>
        <v>0</v>
      </c>
      <c r="AG107" s="116"/>
      <c r="AH107" s="734"/>
    </row>
    <row r="108" spans="2:34" ht="15.45" customHeight="1">
      <c r="B108" s="9"/>
      <c r="C108" s="806"/>
      <c r="D108" s="807"/>
      <c r="E108" s="807"/>
      <c r="F108" s="808"/>
      <c r="G108" s="12"/>
      <c r="H108" s="165"/>
      <c r="I108" s="9"/>
      <c r="J108" s="841"/>
      <c r="K108" s="820"/>
      <c r="L108" s="821"/>
      <c r="M108" s="822"/>
      <c r="N108" s="10"/>
      <c r="O108" s="629" t="s">
        <v>187</v>
      </c>
      <c r="P108" s="631"/>
      <c r="Q108" s="128" t="b">
        <v>0</v>
      </c>
      <c r="R108" s="10"/>
      <c r="S108" s="830"/>
      <c r="T108" s="831"/>
      <c r="U108" s="831"/>
      <c r="V108" s="832"/>
      <c r="W108" s="12"/>
      <c r="X108" s="165"/>
      <c r="Y108" s="9"/>
      <c r="Z108" s="602"/>
      <c r="AA108" s="603"/>
      <c r="AB108" s="603"/>
      <c r="AC108" s="604"/>
      <c r="AD108" s="12"/>
      <c r="AF108" s="117">
        <f>IF(Q108,1,0)</f>
        <v>0</v>
      </c>
      <c r="AG108" s="116"/>
      <c r="AH108" s="734"/>
    </row>
    <row r="109" spans="2:34" ht="15.45" customHeight="1">
      <c r="B109" s="9"/>
      <c r="C109" s="806"/>
      <c r="D109" s="807"/>
      <c r="E109" s="807"/>
      <c r="F109" s="808"/>
      <c r="G109" s="12"/>
      <c r="H109" s="165"/>
      <c r="I109" s="9"/>
      <c r="J109" s="842"/>
      <c r="K109" s="823"/>
      <c r="L109" s="824"/>
      <c r="M109" s="825"/>
      <c r="N109" s="10"/>
      <c r="O109" s="629" t="s">
        <v>219</v>
      </c>
      <c r="P109" s="631"/>
      <c r="Q109" s="128" t="b">
        <v>0</v>
      </c>
      <c r="R109" s="10"/>
      <c r="S109" s="833"/>
      <c r="T109" s="834"/>
      <c r="U109" s="834"/>
      <c r="V109" s="835"/>
      <c r="W109" s="12"/>
      <c r="X109" s="165"/>
      <c r="Y109" s="9"/>
      <c r="Z109" s="605"/>
      <c r="AA109" s="606"/>
      <c r="AB109" s="606"/>
      <c r="AC109" s="607"/>
      <c r="AD109" s="12"/>
      <c r="AF109" s="117"/>
      <c r="AG109" s="116"/>
      <c r="AH109" s="734"/>
    </row>
    <row r="110" spans="2:34">
      <c r="B110" s="9"/>
      <c r="C110" s="563"/>
      <c r="D110" s="563"/>
      <c r="E110" s="563"/>
      <c r="F110" s="563"/>
      <c r="G110" s="12"/>
      <c r="H110" s="165"/>
      <c r="I110" s="9"/>
      <c r="J110" s="65"/>
      <c r="K110" s="216"/>
      <c r="L110" s="216"/>
      <c r="M110" s="216"/>
      <c r="N110" s="10"/>
      <c r="O110" s="62"/>
      <c r="P110" s="62"/>
      <c r="Q110" s="18"/>
      <c r="R110" s="10"/>
      <c r="S110" s="10"/>
      <c r="T110" s="10"/>
      <c r="U110" s="10"/>
      <c r="V110" s="10"/>
      <c r="W110" s="12"/>
      <c r="X110" s="165"/>
      <c r="Y110" s="9"/>
      <c r="Z110" s="201"/>
      <c r="AA110" s="201"/>
      <c r="AB110" s="201"/>
      <c r="AC110" s="201"/>
      <c r="AD110" s="12"/>
      <c r="AF110" s="117"/>
      <c r="AG110" s="116"/>
      <c r="AH110" s="734"/>
    </row>
    <row r="111" spans="2:34" ht="15.45" customHeight="1">
      <c r="B111" s="9"/>
      <c r="C111" s="803" t="s">
        <v>1172</v>
      </c>
      <c r="D111" s="804"/>
      <c r="E111" s="804"/>
      <c r="F111" s="805"/>
      <c r="G111" s="12"/>
      <c r="H111" s="165"/>
      <c r="I111" s="9"/>
      <c r="J111" s="840">
        <v>2.6</v>
      </c>
      <c r="K111" s="817" t="s">
        <v>326</v>
      </c>
      <c r="L111" s="818"/>
      <c r="M111" s="819"/>
      <c r="N111" s="10"/>
      <c r="O111" s="843" t="s">
        <v>225</v>
      </c>
      <c r="P111" s="843"/>
      <c r="Q111" s="128" t="b">
        <v>0</v>
      </c>
      <c r="R111" s="10"/>
      <c r="S111" s="827" t="s">
        <v>60</v>
      </c>
      <c r="T111" s="828"/>
      <c r="U111" s="828"/>
      <c r="V111" s="829"/>
      <c r="W111" s="12"/>
      <c r="X111" s="165"/>
      <c r="Y111" s="9"/>
      <c r="Z111" s="599" t="str">
        <f>IF(AF116,Feedback_List!B45, " ")</f>
        <v xml:space="preserve"> </v>
      </c>
      <c r="AA111" s="600"/>
      <c r="AB111" s="600"/>
      <c r="AC111" s="601"/>
      <c r="AD111" s="12"/>
      <c r="AF111" s="117">
        <f>IF(Q111,1,0)</f>
        <v>0</v>
      </c>
      <c r="AG111" s="116">
        <f>IF(AF111,2,)</f>
        <v>0</v>
      </c>
      <c r="AH111" s="734"/>
    </row>
    <row r="112" spans="2:34" ht="15">
      <c r="B112" s="9"/>
      <c r="C112" s="806"/>
      <c r="D112" s="807"/>
      <c r="E112" s="807"/>
      <c r="F112" s="808"/>
      <c r="G112" s="12"/>
      <c r="H112" s="165"/>
      <c r="I112" s="9"/>
      <c r="J112" s="841"/>
      <c r="K112" s="820"/>
      <c r="L112" s="821"/>
      <c r="M112" s="822"/>
      <c r="N112" s="10"/>
      <c r="O112" s="843" t="s">
        <v>226</v>
      </c>
      <c r="P112" s="843"/>
      <c r="Q112" s="128" t="b">
        <v>0</v>
      </c>
      <c r="R112" s="10"/>
      <c r="S112" s="830"/>
      <c r="T112" s="831"/>
      <c r="U112" s="831"/>
      <c r="V112" s="832"/>
      <c r="W112" s="12"/>
      <c r="X112" s="165"/>
      <c r="Y112" s="9"/>
      <c r="Z112" s="602"/>
      <c r="AA112" s="603"/>
      <c r="AB112" s="603"/>
      <c r="AC112" s="604"/>
      <c r="AD112" s="12"/>
      <c r="AF112" s="117">
        <f t="shared" ref="AF112:AF113" si="16">IF(Q112,1,0)</f>
        <v>0</v>
      </c>
      <c r="AG112" s="116">
        <f t="shared" ref="AG112:AG113" si="17">IF(AF112,2,)</f>
        <v>0</v>
      </c>
      <c r="AH112" s="734"/>
    </row>
    <row r="113" spans="2:35" ht="15">
      <c r="B113" s="9"/>
      <c r="C113" s="806"/>
      <c r="D113" s="807"/>
      <c r="E113" s="807"/>
      <c r="F113" s="808"/>
      <c r="G113" s="12"/>
      <c r="H113" s="165"/>
      <c r="I113" s="9"/>
      <c r="J113" s="841"/>
      <c r="K113" s="820"/>
      <c r="L113" s="821"/>
      <c r="M113" s="822"/>
      <c r="N113" s="10"/>
      <c r="O113" s="843" t="s">
        <v>227</v>
      </c>
      <c r="P113" s="843"/>
      <c r="Q113" s="128" t="b">
        <v>0</v>
      </c>
      <c r="R113" s="10"/>
      <c r="S113" s="830"/>
      <c r="T113" s="831"/>
      <c r="U113" s="831"/>
      <c r="V113" s="832"/>
      <c r="W113" s="12"/>
      <c r="X113" s="165"/>
      <c r="Y113" s="9"/>
      <c r="Z113" s="602"/>
      <c r="AA113" s="603"/>
      <c r="AB113" s="603"/>
      <c r="AC113" s="604"/>
      <c r="AD113" s="12"/>
      <c r="AF113" s="117">
        <f t="shared" si="16"/>
        <v>0</v>
      </c>
      <c r="AG113" s="116">
        <f t="shared" si="17"/>
        <v>0</v>
      </c>
      <c r="AH113" s="734"/>
    </row>
    <row r="114" spans="2:35" ht="15">
      <c r="B114" s="9"/>
      <c r="C114" s="806"/>
      <c r="D114" s="807"/>
      <c r="E114" s="807"/>
      <c r="F114" s="808"/>
      <c r="G114" s="12"/>
      <c r="H114" s="165"/>
      <c r="I114" s="9"/>
      <c r="J114" s="841"/>
      <c r="K114" s="820"/>
      <c r="L114" s="821"/>
      <c r="M114" s="822"/>
      <c r="N114" s="10"/>
      <c r="O114" s="843" t="s">
        <v>228</v>
      </c>
      <c r="P114" s="843"/>
      <c r="Q114" s="128" t="b">
        <v>0</v>
      </c>
      <c r="R114" s="10"/>
      <c r="S114" s="830"/>
      <c r="T114" s="831"/>
      <c r="U114" s="831"/>
      <c r="V114" s="832"/>
      <c r="W114" s="12"/>
      <c r="X114" s="165"/>
      <c r="Y114" s="9"/>
      <c r="Z114" s="602"/>
      <c r="AA114" s="603"/>
      <c r="AB114" s="603"/>
      <c r="AC114" s="604"/>
      <c r="AD114" s="12"/>
      <c r="AF114" s="117">
        <f>IF(Q114,1,0)</f>
        <v>0</v>
      </c>
      <c r="AG114" s="116">
        <f>IF(AF114,2,)</f>
        <v>0</v>
      </c>
      <c r="AH114" s="734"/>
    </row>
    <row r="115" spans="2:35" ht="15">
      <c r="B115" s="9"/>
      <c r="C115" s="806"/>
      <c r="D115" s="807"/>
      <c r="E115" s="807"/>
      <c r="F115" s="808"/>
      <c r="G115" s="12"/>
      <c r="H115" s="165"/>
      <c r="I115" s="9"/>
      <c r="J115" s="841"/>
      <c r="K115" s="820"/>
      <c r="L115" s="821"/>
      <c r="M115" s="822"/>
      <c r="N115" s="10"/>
      <c r="O115" s="629" t="s">
        <v>171</v>
      </c>
      <c r="P115" s="631"/>
      <c r="Q115" s="128" t="b">
        <v>0</v>
      </c>
      <c r="R115" s="10"/>
      <c r="S115" s="830"/>
      <c r="T115" s="831"/>
      <c r="U115" s="831"/>
      <c r="V115" s="832"/>
      <c r="W115" s="12"/>
      <c r="X115" s="165"/>
      <c r="Y115" s="9"/>
      <c r="Z115" s="602"/>
      <c r="AA115" s="603"/>
      <c r="AB115" s="603"/>
      <c r="AC115" s="604"/>
      <c r="AD115" s="12"/>
      <c r="AF115" s="117"/>
      <c r="AG115" s="116"/>
      <c r="AH115" s="734"/>
    </row>
    <row r="116" spans="2:35" ht="15">
      <c r="B116" s="9"/>
      <c r="C116" s="806"/>
      <c r="D116" s="807"/>
      <c r="E116" s="807"/>
      <c r="F116" s="808"/>
      <c r="G116" s="12"/>
      <c r="H116" s="165"/>
      <c r="I116" s="9"/>
      <c r="J116" s="842"/>
      <c r="K116" s="823"/>
      <c r="L116" s="824"/>
      <c r="M116" s="825"/>
      <c r="N116" s="10"/>
      <c r="O116" s="629" t="s">
        <v>452</v>
      </c>
      <c r="P116" s="631"/>
      <c r="Q116" s="128" t="b">
        <v>0</v>
      </c>
      <c r="R116" s="10"/>
      <c r="S116" s="833"/>
      <c r="T116" s="834"/>
      <c r="U116" s="834"/>
      <c r="V116" s="835"/>
      <c r="W116" s="12"/>
      <c r="X116" s="165"/>
      <c r="Y116" s="9"/>
      <c r="Z116" s="605"/>
      <c r="AA116" s="606"/>
      <c r="AB116" s="606"/>
      <c r="AC116" s="607"/>
      <c r="AD116" s="12"/>
      <c r="AF116" s="117">
        <f t="shared" ref="AF116" si="18">IF(Q116,1,0)</f>
        <v>0</v>
      </c>
      <c r="AG116" s="116"/>
      <c r="AH116" s="734"/>
    </row>
    <row r="117" spans="2:35">
      <c r="B117" s="9"/>
      <c r="C117" s="806"/>
      <c r="D117" s="807"/>
      <c r="E117" s="807"/>
      <c r="F117" s="808"/>
      <c r="G117" s="12"/>
      <c r="H117" s="165"/>
      <c r="I117" s="9"/>
      <c r="J117" s="65"/>
      <c r="K117" s="216"/>
      <c r="L117" s="216"/>
      <c r="M117" s="216"/>
      <c r="N117" s="10"/>
      <c r="O117" s="62"/>
      <c r="P117" s="62"/>
      <c r="Q117" s="18"/>
      <c r="R117" s="10"/>
      <c r="S117" s="10"/>
      <c r="T117" s="10"/>
      <c r="U117" s="10"/>
      <c r="V117" s="10"/>
      <c r="W117" s="12"/>
      <c r="X117" s="165"/>
      <c r="Y117" s="9"/>
      <c r="Z117" s="201"/>
      <c r="AA117" s="201"/>
      <c r="AB117" s="201"/>
      <c r="AC117" s="201"/>
      <c r="AD117" s="12"/>
      <c r="AF117" s="188"/>
      <c r="AG117" s="187"/>
      <c r="AH117" s="734"/>
      <c r="AI117" s="99"/>
    </row>
    <row r="118" spans="2:35" ht="36" customHeight="1">
      <c r="B118" s="9"/>
      <c r="C118" s="806"/>
      <c r="D118" s="807"/>
      <c r="E118" s="807"/>
      <c r="F118" s="808"/>
      <c r="G118" s="12"/>
      <c r="H118" s="165"/>
      <c r="I118" s="9"/>
      <c r="J118" s="812">
        <v>2.7</v>
      </c>
      <c r="K118" s="815" t="s">
        <v>1138</v>
      </c>
      <c r="L118" s="815"/>
      <c r="M118" s="815"/>
      <c r="N118" s="10"/>
      <c r="O118" s="579" t="s">
        <v>180</v>
      </c>
      <c r="P118" s="581"/>
      <c r="Q118" s="551"/>
      <c r="R118" s="10"/>
      <c r="S118" s="813" t="s">
        <v>60</v>
      </c>
      <c r="T118" s="813"/>
      <c r="U118" s="813"/>
      <c r="V118" s="813"/>
      <c r="W118" s="12"/>
      <c r="X118" s="165"/>
      <c r="Y118" s="9"/>
      <c r="Z118" s="599" t="str">
        <f>IF(AF122=1, Feedback_List!B46, IF(AND(AF124&gt;=1, AF124&lt;=2), Feedback_List!C46, ""))</f>
        <v/>
      </c>
      <c r="AA118" s="600"/>
      <c r="AB118" s="600"/>
      <c r="AC118" s="601"/>
      <c r="AD118" s="12"/>
      <c r="AF118" s="117">
        <f>IF(ISNUMBER(Q118),1,0)</f>
        <v>0</v>
      </c>
      <c r="AG118" s="116">
        <f>IF(AF118,1,0)</f>
        <v>0</v>
      </c>
      <c r="AH118" s="734"/>
    </row>
    <row r="119" spans="2:35" ht="23.55" customHeight="1">
      <c r="B119" s="9"/>
      <c r="C119" s="806"/>
      <c r="D119" s="807"/>
      <c r="E119" s="807"/>
      <c r="F119" s="808"/>
      <c r="G119" s="12"/>
      <c r="H119" s="165"/>
      <c r="I119" s="9"/>
      <c r="J119" s="812"/>
      <c r="K119" s="815"/>
      <c r="L119" s="815"/>
      <c r="M119" s="815"/>
      <c r="N119" s="10"/>
      <c r="O119" s="629" t="s">
        <v>181</v>
      </c>
      <c r="P119" s="631"/>
      <c r="Q119" s="551"/>
      <c r="R119" s="10"/>
      <c r="S119" s="813"/>
      <c r="T119" s="813"/>
      <c r="U119" s="813"/>
      <c r="V119" s="813"/>
      <c r="W119" s="12"/>
      <c r="X119" s="165"/>
      <c r="Y119" s="9"/>
      <c r="Z119" s="602"/>
      <c r="AA119" s="603"/>
      <c r="AB119" s="603"/>
      <c r="AC119" s="604"/>
      <c r="AD119" s="12"/>
      <c r="AF119" s="117">
        <f>IF(ISNUMBER(Q119),1,0)</f>
        <v>0</v>
      </c>
      <c r="AG119" s="116">
        <f t="shared" ref="AG119:AG121" si="19">IF(AF119,1,0)</f>
        <v>0</v>
      </c>
      <c r="AH119" s="734"/>
    </row>
    <row r="120" spans="2:35" ht="23.55" customHeight="1">
      <c r="B120" s="9"/>
      <c r="C120" s="806"/>
      <c r="D120" s="807"/>
      <c r="E120" s="807"/>
      <c r="F120" s="808"/>
      <c r="G120" s="12"/>
      <c r="H120" s="165"/>
      <c r="I120" s="9"/>
      <c r="J120" s="812"/>
      <c r="K120" s="815"/>
      <c r="L120" s="815"/>
      <c r="M120" s="815"/>
      <c r="N120" s="10"/>
      <c r="O120" s="629" t="s">
        <v>182</v>
      </c>
      <c r="P120" s="631"/>
      <c r="Q120" s="551"/>
      <c r="R120" s="10"/>
      <c r="S120" s="813"/>
      <c r="T120" s="813"/>
      <c r="U120" s="813"/>
      <c r="V120" s="813"/>
      <c r="W120" s="12"/>
      <c r="X120" s="165"/>
      <c r="Y120" s="9"/>
      <c r="Z120" s="602"/>
      <c r="AA120" s="603"/>
      <c r="AB120" s="603"/>
      <c r="AC120" s="604"/>
      <c r="AD120" s="12"/>
      <c r="AF120" s="117">
        <f>IF(ISNUMBER(Q120),1,0)</f>
        <v>0</v>
      </c>
      <c r="AG120" s="116">
        <f t="shared" si="19"/>
        <v>0</v>
      </c>
      <c r="AH120" s="734"/>
    </row>
    <row r="121" spans="2:35" ht="23.55" customHeight="1">
      <c r="B121" s="9"/>
      <c r="C121" s="806"/>
      <c r="D121" s="807"/>
      <c r="E121" s="807"/>
      <c r="F121" s="808"/>
      <c r="G121" s="12"/>
      <c r="H121" s="165"/>
      <c r="I121" s="9"/>
      <c r="J121" s="812"/>
      <c r="K121" s="815"/>
      <c r="L121" s="815"/>
      <c r="M121" s="815"/>
      <c r="N121" s="10"/>
      <c r="O121" s="629" t="s">
        <v>183</v>
      </c>
      <c r="P121" s="631"/>
      <c r="Q121" s="551"/>
      <c r="R121" s="10"/>
      <c r="S121" s="813"/>
      <c r="T121" s="813"/>
      <c r="U121" s="813"/>
      <c r="V121" s="813"/>
      <c r="W121" s="12"/>
      <c r="X121" s="165"/>
      <c r="Y121" s="9"/>
      <c r="Z121" s="602"/>
      <c r="AA121" s="603"/>
      <c r="AB121" s="603"/>
      <c r="AC121" s="604"/>
      <c r="AD121" s="12"/>
      <c r="AF121" s="117">
        <f>IF(ISNUMBER(Q121),1,0)</f>
        <v>0</v>
      </c>
      <c r="AG121" s="116">
        <f t="shared" si="19"/>
        <v>0</v>
      </c>
      <c r="AH121" s="734"/>
    </row>
    <row r="122" spans="2:35" ht="23.55" customHeight="1">
      <c r="B122" s="9"/>
      <c r="C122" s="809"/>
      <c r="D122" s="810"/>
      <c r="E122" s="810"/>
      <c r="F122" s="811"/>
      <c r="G122" s="12"/>
      <c r="H122" s="165"/>
      <c r="I122" s="9"/>
      <c r="J122" s="812"/>
      <c r="K122" s="815"/>
      <c r="L122" s="815"/>
      <c r="M122" s="815"/>
      <c r="N122" s="10"/>
      <c r="O122" s="629" t="s">
        <v>184</v>
      </c>
      <c r="P122" s="631"/>
      <c r="Q122" s="176" t="b">
        <v>0</v>
      </c>
      <c r="R122" s="10"/>
      <c r="S122" s="813"/>
      <c r="T122" s="813"/>
      <c r="U122" s="813"/>
      <c r="V122" s="813"/>
      <c r="W122" s="12"/>
      <c r="X122" s="165"/>
      <c r="Y122" s="9"/>
      <c r="Z122" s="602"/>
      <c r="AA122" s="603"/>
      <c r="AB122" s="603"/>
      <c r="AC122" s="604"/>
      <c r="AD122" s="12"/>
      <c r="AF122" s="106">
        <f>IF(ISNUMBER(Q122),1,0)</f>
        <v>0</v>
      </c>
      <c r="AG122" s="116">
        <f>IF(AF122,0,0)</f>
        <v>0</v>
      </c>
      <c r="AH122" s="735"/>
    </row>
    <row r="123" spans="2:35" ht="18" thickBot="1">
      <c r="B123" s="9"/>
      <c r="C123" s="10"/>
      <c r="D123" s="10"/>
      <c r="E123" s="10"/>
      <c r="F123" s="10"/>
      <c r="G123" s="12"/>
      <c r="H123" s="165"/>
      <c r="I123" s="9"/>
      <c r="J123" s="65"/>
      <c r="K123" s="216"/>
      <c r="L123" s="216"/>
      <c r="M123" s="216"/>
      <c r="N123" s="10"/>
      <c r="O123" s="62"/>
      <c r="P123" s="62"/>
      <c r="Q123" s="18"/>
      <c r="R123" s="10"/>
      <c r="S123" s="10"/>
      <c r="T123" s="10"/>
      <c r="U123" s="10"/>
      <c r="V123" s="10"/>
      <c r="W123" s="12"/>
      <c r="X123" s="165"/>
      <c r="Y123" s="9"/>
      <c r="Z123" s="602"/>
      <c r="AA123" s="603"/>
      <c r="AB123" s="603"/>
      <c r="AC123" s="604"/>
      <c r="AD123" s="12"/>
      <c r="AF123" s="123">
        <f>SUM(AF86:AF122)</f>
        <v>0</v>
      </c>
      <c r="AG123" s="123">
        <f>SUM(AG80:AG122)</f>
        <v>0</v>
      </c>
      <c r="AH123" s="123"/>
    </row>
    <row r="124" spans="2:35" ht="21.6" thickTop="1">
      <c r="B124" s="9"/>
      <c r="C124" s="10"/>
      <c r="D124" s="10"/>
      <c r="E124" s="10"/>
      <c r="F124" s="10"/>
      <c r="G124" s="12"/>
      <c r="H124" s="165"/>
      <c r="I124" s="9"/>
      <c r="J124" s="855" t="s">
        <v>229</v>
      </c>
      <c r="K124" s="856"/>
      <c r="L124" s="856"/>
      <c r="M124" s="856"/>
      <c r="N124" s="856"/>
      <c r="O124" s="856"/>
      <c r="P124" s="856"/>
      <c r="Q124" s="857"/>
      <c r="R124" s="10"/>
      <c r="S124" s="765" t="str">
        <f>ROUND(AH80+AH7,0) &amp; "/"&amp;AL9</f>
        <v>0/25</v>
      </c>
      <c r="T124" s="766"/>
      <c r="U124" s="766"/>
      <c r="V124" s="767"/>
      <c r="W124" s="12"/>
      <c r="X124" s="165"/>
      <c r="Y124" s="9"/>
      <c r="Z124" s="605"/>
      <c r="AA124" s="606"/>
      <c r="AB124" s="606"/>
      <c r="AC124" s="607"/>
      <c r="AD124" s="12"/>
      <c r="AF124" s="98">
        <f>SUM(AF118:AF121)</f>
        <v>0</v>
      </c>
    </row>
    <row r="125" spans="2:35" ht="18" thickBot="1">
      <c r="B125" s="14"/>
      <c r="C125" s="15"/>
      <c r="D125" s="15"/>
      <c r="E125" s="15"/>
      <c r="F125" s="15"/>
      <c r="G125" s="16"/>
      <c r="H125" s="165"/>
      <c r="I125" s="14"/>
      <c r="J125" s="67"/>
      <c r="K125" s="217"/>
      <c r="L125" s="217"/>
      <c r="M125" s="217"/>
      <c r="N125" s="15"/>
      <c r="O125" s="81"/>
      <c r="P125" s="81"/>
      <c r="Q125" s="63"/>
      <c r="R125" s="15"/>
      <c r="S125" s="15"/>
      <c r="T125" s="15"/>
      <c r="U125" s="15"/>
      <c r="V125" s="15"/>
      <c r="W125" s="16"/>
      <c r="X125" s="165"/>
      <c r="Y125" s="14"/>
      <c r="Z125" s="205"/>
      <c r="AA125" s="205"/>
      <c r="AB125" s="205"/>
      <c r="AC125" s="205"/>
      <c r="AD125" s="16"/>
    </row>
    <row r="127" spans="2:35" ht="17.55" customHeight="1">
      <c r="J127" s="127"/>
      <c r="K127" s="218"/>
      <c r="L127" s="218"/>
      <c r="M127" s="139"/>
    </row>
    <row r="128" spans="2:35" ht="17.55" customHeight="1">
      <c r="J128" s="127"/>
      <c r="K128" s="218"/>
      <c r="L128" s="218"/>
      <c r="M128" s="139"/>
    </row>
    <row r="129" spans="10:13" ht="17.55" customHeight="1">
      <c r="J129" s="127"/>
      <c r="K129" s="218"/>
      <c r="L129" s="218"/>
      <c r="M129" s="139"/>
    </row>
    <row r="130" spans="10:13" ht="17.55" customHeight="1">
      <c r="J130" s="127"/>
      <c r="K130" s="218"/>
      <c r="L130" s="218"/>
      <c r="M130" s="139"/>
    </row>
    <row r="131" spans="10:13" ht="17.55" customHeight="1">
      <c r="J131" s="127"/>
      <c r="K131" s="218"/>
      <c r="L131" s="218"/>
      <c r="M131" s="139"/>
    </row>
    <row r="132" spans="10:13" ht="17.55" customHeight="1">
      <c r="J132" s="127"/>
      <c r="K132" s="218"/>
      <c r="L132" s="218"/>
      <c r="M132" s="139"/>
    </row>
    <row r="133" spans="10:13" ht="17.55" customHeight="1">
      <c r="J133" s="127"/>
      <c r="K133" s="218"/>
      <c r="L133" s="218"/>
      <c r="M133" s="139"/>
    </row>
    <row r="134" spans="10:13" ht="17.55" customHeight="1">
      <c r="J134" s="127"/>
      <c r="K134" s="218"/>
      <c r="L134" s="218"/>
      <c r="M134" s="139"/>
    </row>
    <row r="135" spans="10:13" ht="17.55" customHeight="1">
      <c r="J135" s="127"/>
      <c r="K135" s="218"/>
      <c r="L135" s="218"/>
      <c r="M135" s="139"/>
    </row>
    <row r="136" spans="10:13" ht="17.55" customHeight="1">
      <c r="J136" s="127"/>
      <c r="K136" s="218"/>
      <c r="L136" s="218"/>
      <c r="M136" s="139"/>
    </row>
  </sheetData>
  <mergeCells count="191">
    <mergeCell ref="Z13:AC17"/>
    <mergeCell ref="Z29:AC33"/>
    <mergeCell ref="O31:P31"/>
    <mergeCell ref="O32:P32"/>
    <mergeCell ref="Z63:AC67"/>
    <mergeCell ref="O19:P20"/>
    <mergeCell ref="J52:J56"/>
    <mergeCell ref="K52:M56"/>
    <mergeCell ref="S52:V56"/>
    <mergeCell ref="Z52:AC56"/>
    <mergeCell ref="Z24:AC27"/>
    <mergeCell ref="Z46:AC50"/>
    <mergeCell ref="O33:P33"/>
    <mergeCell ref="S29:V33"/>
    <mergeCell ref="O27:P27"/>
    <mergeCell ref="S24:V27"/>
    <mergeCell ref="O24:P24"/>
    <mergeCell ref="Z35:AC39"/>
    <mergeCell ref="Z93:AC96"/>
    <mergeCell ref="O93:P93"/>
    <mergeCell ref="J69:J76"/>
    <mergeCell ref="K69:M76"/>
    <mergeCell ref="O75:P75"/>
    <mergeCell ref="S69:V77"/>
    <mergeCell ref="Z69:AC76"/>
    <mergeCell ref="O63:P63"/>
    <mergeCell ref="S63:V67"/>
    <mergeCell ref="J63:J67"/>
    <mergeCell ref="O70:P70"/>
    <mergeCell ref="O71:P71"/>
    <mergeCell ref="O72:P72"/>
    <mergeCell ref="K63:M67"/>
    <mergeCell ref="O69:P69"/>
    <mergeCell ref="Z86:AC91"/>
    <mergeCell ref="Z78:AC84"/>
    <mergeCell ref="O86:P86"/>
    <mergeCell ref="O64:P64"/>
    <mergeCell ref="S80:V84"/>
    <mergeCell ref="S86:V91"/>
    <mergeCell ref="AH80:AH122"/>
    <mergeCell ref="O120:P120"/>
    <mergeCell ref="O107:P107"/>
    <mergeCell ref="J103:J109"/>
    <mergeCell ref="O80:P80"/>
    <mergeCell ref="O81:P81"/>
    <mergeCell ref="O82:P82"/>
    <mergeCell ref="O83:P83"/>
    <mergeCell ref="O84:P84"/>
    <mergeCell ref="J118:J122"/>
    <mergeCell ref="K118:M122"/>
    <mergeCell ref="O118:P118"/>
    <mergeCell ref="J111:J116"/>
    <mergeCell ref="P100:Q100"/>
    <mergeCell ref="P101:Q101"/>
    <mergeCell ref="O96:P96"/>
    <mergeCell ref="P98:Q98"/>
    <mergeCell ref="Z118:AC124"/>
    <mergeCell ref="S124:V124"/>
    <mergeCell ref="J124:Q124"/>
    <mergeCell ref="J93:J96"/>
    <mergeCell ref="Z111:AC116"/>
    <mergeCell ref="Z103:AC109"/>
    <mergeCell ref="K111:M116"/>
    <mergeCell ref="O121:P121"/>
    <mergeCell ref="S118:V122"/>
    <mergeCell ref="O119:P119"/>
    <mergeCell ref="Z98:AC101"/>
    <mergeCell ref="P99:Q99"/>
    <mergeCell ref="O122:P122"/>
    <mergeCell ref="O111:P111"/>
    <mergeCell ref="O112:P112"/>
    <mergeCell ref="O113:P113"/>
    <mergeCell ref="O114:P114"/>
    <mergeCell ref="O103:P103"/>
    <mergeCell ref="O104:P104"/>
    <mergeCell ref="O105:P105"/>
    <mergeCell ref="O115:P115"/>
    <mergeCell ref="O108:P108"/>
    <mergeCell ref="S103:V109"/>
    <mergeCell ref="S111:V116"/>
    <mergeCell ref="O106:P106"/>
    <mergeCell ref="S98:V101"/>
    <mergeCell ref="K103:M109"/>
    <mergeCell ref="O116:P116"/>
    <mergeCell ref="O38:P38"/>
    <mergeCell ref="K35:M39"/>
    <mergeCell ref="O73:P73"/>
    <mergeCell ref="O91:P91"/>
    <mergeCell ref="O61:P61"/>
    <mergeCell ref="O67:P67"/>
    <mergeCell ref="O65:P65"/>
    <mergeCell ref="O66:P66"/>
    <mergeCell ref="K80:M84"/>
    <mergeCell ref="O109:P109"/>
    <mergeCell ref="O94:P94"/>
    <mergeCell ref="O90:P90"/>
    <mergeCell ref="O95:P95"/>
    <mergeCell ref="O74:P74"/>
    <mergeCell ref="B2:G3"/>
    <mergeCell ref="I2:W3"/>
    <mergeCell ref="J13:J17"/>
    <mergeCell ref="O17:P17"/>
    <mergeCell ref="S13:V17"/>
    <mergeCell ref="J46:J50"/>
    <mergeCell ref="K46:M50"/>
    <mergeCell ref="S46:V50"/>
    <mergeCell ref="O15:P15"/>
    <mergeCell ref="O16:P16"/>
    <mergeCell ref="O29:P29"/>
    <mergeCell ref="O30:P30"/>
    <mergeCell ref="S7:V11"/>
    <mergeCell ref="J98:J101"/>
    <mergeCell ref="K93:M96"/>
    <mergeCell ref="J86:J91"/>
    <mergeCell ref="K86:M91"/>
    <mergeCell ref="O50:P50"/>
    <mergeCell ref="O47:P47"/>
    <mergeCell ref="J35:J39"/>
    <mergeCell ref="S35:V39"/>
    <mergeCell ref="O39:P39"/>
    <mergeCell ref="O35:P35"/>
    <mergeCell ref="O36:P36"/>
    <mergeCell ref="O37:P37"/>
    <mergeCell ref="O87:P87"/>
    <mergeCell ref="O88:P88"/>
    <mergeCell ref="O89:P89"/>
    <mergeCell ref="O76:P76"/>
    <mergeCell ref="J80:J84"/>
    <mergeCell ref="S93:V96"/>
    <mergeCell ref="O56:P56"/>
    <mergeCell ref="K98:M101"/>
    <mergeCell ref="Y2:AD3"/>
    <mergeCell ref="O13:P13"/>
    <mergeCell ref="K19:M22"/>
    <mergeCell ref="J19:J22"/>
    <mergeCell ref="Q21:Q22"/>
    <mergeCell ref="Q19:Q20"/>
    <mergeCell ref="S19:V22"/>
    <mergeCell ref="Z41:AC44"/>
    <mergeCell ref="O41:P41"/>
    <mergeCell ref="O42:P42"/>
    <mergeCell ref="O43:P43"/>
    <mergeCell ref="O44:P44"/>
    <mergeCell ref="Z19:AC22"/>
    <mergeCell ref="O21:P22"/>
    <mergeCell ref="O10:P10"/>
    <mergeCell ref="O14:P14"/>
    <mergeCell ref="J7:J11"/>
    <mergeCell ref="Z7:AC11"/>
    <mergeCell ref="K13:M17"/>
    <mergeCell ref="J29:J33"/>
    <mergeCell ref="K29:M33"/>
    <mergeCell ref="K24:M27"/>
    <mergeCell ref="J24:J27"/>
    <mergeCell ref="O11:P11"/>
    <mergeCell ref="AM5:AM6"/>
    <mergeCell ref="AH7:AH75"/>
    <mergeCell ref="O25:P25"/>
    <mergeCell ref="O26:P26"/>
    <mergeCell ref="J41:J44"/>
    <mergeCell ref="O46:P46"/>
    <mergeCell ref="O48:P48"/>
    <mergeCell ref="O49:P49"/>
    <mergeCell ref="O53:P53"/>
    <mergeCell ref="O54:P54"/>
    <mergeCell ref="O55:P55"/>
    <mergeCell ref="S58:V61"/>
    <mergeCell ref="Z58:AC61"/>
    <mergeCell ref="O58:P58"/>
    <mergeCell ref="O59:P59"/>
    <mergeCell ref="O60:P60"/>
    <mergeCell ref="K58:M61"/>
    <mergeCell ref="K41:M44"/>
    <mergeCell ref="S41:V44"/>
    <mergeCell ref="K7:M11"/>
    <mergeCell ref="J58:J61"/>
    <mergeCell ref="O7:P7"/>
    <mergeCell ref="O8:P8"/>
    <mergeCell ref="O9:P9"/>
    <mergeCell ref="C93:F101"/>
    <mergeCell ref="C103:F109"/>
    <mergeCell ref="C111:F122"/>
    <mergeCell ref="C7:F11"/>
    <mergeCell ref="C13:F27"/>
    <mergeCell ref="C29:F44"/>
    <mergeCell ref="C46:F50"/>
    <mergeCell ref="C52:F56"/>
    <mergeCell ref="C58:F61"/>
    <mergeCell ref="C63:F67"/>
    <mergeCell ref="C80:F84"/>
    <mergeCell ref="C86:F91"/>
  </mergeCells>
  <conditionalFormatting sqref="O13 Q13 O14:Q14 O16:Q16 O17 Q17">
    <cfRule type="expression" dxfId="514" priority="167">
      <formula>$Q$15</formula>
    </cfRule>
  </conditionalFormatting>
  <conditionalFormatting sqref="O13 Q13 O14:Q15 O17:Q17">
    <cfRule type="expression" dxfId="513" priority="166">
      <formula>$Q$16</formula>
    </cfRule>
  </conditionalFormatting>
  <conditionalFormatting sqref="O13 Q13 O15:Q16 O17 Q17">
    <cfRule type="expression" dxfId="512" priority="168">
      <formula>$Q$14</formula>
    </cfRule>
  </conditionalFormatting>
  <conditionalFormatting sqref="O47 Q47 O48:Q49 O50:O51 Q50:Q51">
    <cfRule type="expression" dxfId="511" priority="121">
      <formula>$Q$46</formula>
    </cfRule>
  </conditionalFormatting>
  <conditionalFormatting sqref="O58 Q58 O60:Q61">
    <cfRule type="expression" dxfId="510" priority="190">
      <formula>$Q$59</formula>
    </cfRule>
  </conditionalFormatting>
  <conditionalFormatting sqref="O101">
    <cfRule type="expression" dxfId="509" priority="150">
      <formula>$Q$101</formula>
    </cfRule>
  </conditionalFormatting>
  <conditionalFormatting sqref="O59:P61">
    <cfRule type="expression" dxfId="508" priority="191">
      <formula>$Q$58</formula>
    </cfRule>
  </conditionalFormatting>
  <conditionalFormatting sqref="O69:P69">
    <cfRule type="expression" dxfId="507" priority="181">
      <formula>$Q$69</formula>
    </cfRule>
  </conditionalFormatting>
  <conditionalFormatting sqref="O70:P70">
    <cfRule type="expression" dxfId="506" priority="180">
      <formula>$Q$70</formula>
    </cfRule>
  </conditionalFormatting>
  <conditionalFormatting sqref="O71:P71">
    <cfRule type="expression" dxfId="505" priority="179">
      <formula>$Q$71</formula>
    </cfRule>
  </conditionalFormatting>
  <conditionalFormatting sqref="O72:P72">
    <cfRule type="expression" dxfId="504" priority="178">
      <formula>$Q$72</formula>
    </cfRule>
  </conditionalFormatting>
  <conditionalFormatting sqref="O73:P73">
    <cfRule type="expression" dxfId="503" priority="177">
      <formula>$Q$73</formula>
    </cfRule>
  </conditionalFormatting>
  <conditionalFormatting sqref="O74:P74">
    <cfRule type="expression" dxfId="502" priority="176">
      <formula>$Q$74</formula>
    </cfRule>
  </conditionalFormatting>
  <conditionalFormatting sqref="O75:P75">
    <cfRule type="expression" dxfId="501" priority="20">
      <formula>$Q$75</formula>
    </cfRule>
  </conditionalFormatting>
  <conditionalFormatting sqref="O76:P76">
    <cfRule type="expression" dxfId="500" priority="758">
      <formula>$Q$76</formula>
    </cfRule>
  </conditionalFormatting>
  <conditionalFormatting sqref="O80:P80">
    <cfRule type="expression" dxfId="499" priority="14">
      <formula>$Q$80</formula>
    </cfRule>
  </conditionalFormatting>
  <conditionalFormatting sqref="O81:P81">
    <cfRule type="expression" dxfId="498" priority="13">
      <formula>$Q$81</formula>
    </cfRule>
  </conditionalFormatting>
  <conditionalFormatting sqref="O82:P82">
    <cfRule type="expression" dxfId="497" priority="12">
      <formula>$Q$82</formula>
    </cfRule>
  </conditionalFormatting>
  <conditionalFormatting sqref="O83:P83">
    <cfRule type="expression" dxfId="496" priority="11">
      <formula>$Q$83</formula>
    </cfRule>
  </conditionalFormatting>
  <conditionalFormatting sqref="O84:P84">
    <cfRule type="expression" dxfId="495" priority="10">
      <formula>$Q$84</formula>
    </cfRule>
  </conditionalFormatting>
  <conditionalFormatting sqref="O103:P103">
    <cfRule type="expression" dxfId="494" priority="157">
      <formula>$Q$103</formula>
    </cfRule>
  </conditionalFormatting>
  <conditionalFormatting sqref="O104:P104">
    <cfRule type="expression" dxfId="493" priority="156">
      <formula>$Q$104</formula>
    </cfRule>
  </conditionalFormatting>
  <conditionalFormatting sqref="O105:P105">
    <cfRule type="expression" dxfId="492" priority="155">
      <formula>$Q$105</formula>
    </cfRule>
  </conditionalFormatting>
  <conditionalFormatting sqref="O107:P107">
    <cfRule type="expression" dxfId="491" priority="153">
      <formula>$Q$107</formula>
    </cfRule>
  </conditionalFormatting>
  <conditionalFormatting sqref="O108:P108">
    <cfRule type="expression" dxfId="490" priority="45">
      <formula>$Q$108</formula>
    </cfRule>
  </conditionalFormatting>
  <conditionalFormatting sqref="O109:P109">
    <cfRule type="expression" dxfId="489" priority="151">
      <formula>$Q$109</formula>
    </cfRule>
  </conditionalFormatting>
  <conditionalFormatting sqref="O111:P111">
    <cfRule type="expression" dxfId="488" priority="149">
      <formula>$Q$111</formula>
    </cfRule>
  </conditionalFormatting>
  <conditionalFormatting sqref="O112:P112">
    <cfRule type="expression" dxfId="487" priority="148">
      <formula>$Q$112</formula>
    </cfRule>
  </conditionalFormatting>
  <conditionalFormatting sqref="O113:P113">
    <cfRule type="expression" dxfId="486" priority="147">
      <formula>$Q$113</formula>
    </cfRule>
    <cfRule type="expression" dxfId="485" priority="172">
      <formula>$Q$113</formula>
    </cfRule>
  </conditionalFormatting>
  <conditionalFormatting sqref="O114:P114">
    <cfRule type="expression" dxfId="484" priority="146">
      <formula>$Q$114</formula>
    </cfRule>
  </conditionalFormatting>
  <conditionalFormatting sqref="O115:P115">
    <cfRule type="expression" dxfId="483" priority="145">
      <formula>$Q$115</formula>
    </cfRule>
  </conditionalFormatting>
  <conditionalFormatting sqref="O118:P118">
    <cfRule type="expression" dxfId="482" priority="18">
      <formula>$Q$118</formula>
    </cfRule>
  </conditionalFormatting>
  <conditionalFormatting sqref="O119:P119">
    <cfRule type="expression" dxfId="481" priority="17">
      <formula>$Q$119</formula>
    </cfRule>
  </conditionalFormatting>
  <conditionalFormatting sqref="O120:P120">
    <cfRule type="expression" dxfId="480" priority="16">
      <formula>$Q$120</formula>
    </cfRule>
  </conditionalFormatting>
  <conditionalFormatting sqref="O121:P121">
    <cfRule type="expression" dxfId="479" priority="15">
      <formula>$Q$121</formula>
    </cfRule>
  </conditionalFormatting>
  <conditionalFormatting sqref="O7:Q7 O9:Q11">
    <cfRule type="expression" dxfId="478" priority="40">
      <formula>$Q$8</formula>
    </cfRule>
  </conditionalFormatting>
  <conditionalFormatting sqref="O7:Q8 O10:Q11">
    <cfRule type="expression" dxfId="477" priority="39">
      <formula>$Q$9</formula>
    </cfRule>
  </conditionalFormatting>
  <conditionalFormatting sqref="O7:Q9 O11:Q11">
    <cfRule type="expression" dxfId="476" priority="38">
      <formula>$Q$10</formula>
    </cfRule>
  </conditionalFormatting>
  <conditionalFormatting sqref="O7:Q10">
    <cfRule type="expression" dxfId="475" priority="37">
      <formula>$Q$11</formula>
    </cfRule>
  </conditionalFormatting>
  <conditionalFormatting sqref="O8:Q11">
    <cfRule type="expression" dxfId="474" priority="41">
      <formula>$Q$7</formula>
    </cfRule>
  </conditionalFormatting>
  <conditionalFormatting sqref="O13:Q16">
    <cfRule type="expression" dxfId="473" priority="35">
      <formula>$Q$17</formula>
    </cfRule>
  </conditionalFormatting>
  <conditionalFormatting sqref="O14:Q16 O17 Q17">
    <cfRule type="expression" dxfId="472" priority="169">
      <formula>$Q$13</formula>
    </cfRule>
  </conditionalFormatting>
  <conditionalFormatting sqref="O19:Q20">
    <cfRule type="expression" dxfId="471" priority="214">
      <formula>$Q$21</formula>
    </cfRule>
  </conditionalFormatting>
  <conditionalFormatting sqref="O21:Q22">
    <cfRule type="expression" dxfId="470" priority="215">
      <formula>$Q$19</formula>
    </cfRule>
  </conditionalFormatting>
  <conditionalFormatting sqref="O24:Q24 O26:Q27">
    <cfRule type="expression" dxfId="469" priority="67">
      <formula>$Q$25</formula>
    </cfRule>
  </conditionalFormatting>
  <conditionalFormatting sqref="O24:Q25 O27:Q27">
    <cfRule type="expression" dxfId="468" priority="68">
      <formula>$Q$26</formula>
    </cfRule>
  </conditionalFormatting>
  <conditionalFormatting sqref="O24:Q26">
    <cfRule type="expression" dxfId="467" priority="69">
      <formula>$Q$27</formula>
    </cfRule>
  </conditionalFormatting>
  <conditionalFormatting sqref="O25:Q27">
    <cfRule type="expression" dxfId="466" priority="66">
      <formula>$Q$24</formula>
    </cfRule>
  </conditionalFormatting>
  <conditionalFormatting sqref="O29:Q29 O31:Q32 O33 Q33">
    <cfRule type="expression" dxfId="465" priority="208">
      <formula>$Q$30</formula>
    </cfRule>
  </conditionalFormatting>
  <conditionalFormatting sqref="O29:Q30 O32:Q32 O33 Q33">
    <cfRule type="expression" dxfId="464" priority="207">
      <formula>$Q$31</formula>
    </cfRule>
  </conditionalFormatting>
  <conditionalFormatting sqref="O29:Q31 O33:Q33">
    <cfRule type="expression" dxfId="463" priority="32">
      <formula>$Q$32</formula>
    </cfRule>
  </conditionalFormatting>
  <conditionalFormatting sqref="O29:Q32 O33 Q33">
    <cfRule type="expression" dxfId="462" priority="210">
      <formula>#REF!</formula>
    </cfRule>
  </conditionalFormatting>
  <conditionalFormatting sqref="O29:Q32">
    <cfRule type="expression" dxfId="461" priority="33">
      <formula>$Q$33</formula>
    </cfRule>
  </conditionalFormatting>
  <conditionalFormatting sqref="O30:Q32 O33 Q33">
    <cfRule type="expression" dxfId="460" priority="209">
      <formula>$Q$29</formula>
    </cfRule>
  </conditionalFormatting>
  <conditionalFormatting sqref="O35:Q35 O37:Q37 O38:O39 Q38:Q39">
    <cfRule type="expression" dxfId="459" priority="203">
      <formula>$Q$36</formula>
    </cfRule>
  </conditionalFormatting>
  <conditionalFormatting sqref="O35:Q36 O38:Q38 O39 Q39">
    <cfRule type="expression" dxfId="458" priority="71">
      <formula>$Q$37</formula>
    </cfRule>
  </conditionalFormatting>
  <conditionalFormatting sqref="O35:Q37 O39 Q39">
    <cfRule type="expression" dxfId="457" priority="70">
      <formula>$Q$38</formula>
    </cfRule>
  </conditionalFormatting>
  <conditionalFormatting sqref="O35:Q38">
    <cfRule type="expression" dxfId="456" priority="28">
      <formula>$Q$39</formula>
    </cfRule>
  </conditionalFormatting>
  <conditionalFormatting sqref="O36:Q37 O38:O39 Q38:Q39">
    <cfRule type="expression" dxfId="455" priority="205">
      <formula>$Q$35</formula>
    </cfRule>
  </conditionalFormatting>
  <conditionalFormatting sqref="O41:Q41 O43:Q44">
    <cfRule type="expression" dxfId="454" priority="201">
      <formula>$Q$42</formula>
    </cfRule>
  </conditionalFormatting>
  <conditionalFormatting sqref="O41:Q42 O44:Q44">
    <cfRule type="expression" dxfId="453" priority="200">
      <formula>$Q$43</formula>
    </cfRule>
  </conditionalFormatting>
  <conditionalFormatting sqref="O41:Q43">
    <cfRule type="expression" dxfId="452" priority="199">
      <formula>$Q$44</formula>
    </cfRule>
  </conditionalFormatting>
  <conditionalFormatting sqref="O42:Q44">
    <cfRule type="expression" dxfId="451" priority="202">
      <formula>$Q$41</formula>
    </cfRule>
  </conditionalFormatting>
  <conditionalFormatting sqref="O46:Q46 O47 Q47 O48:Q48 O50:Q51">
    <cfRule type="expression" dxfId="450" priority="118">
      <formula>$Q$49</formula>
    </cfRule>
  </conditionalFormatting>
  <conditionalFormatting sqref="O46:Q46 O47 Q47 O49:Q49 O50:O51 Q50:Q51">
    <cfRule type="expression" dxfId="449" priority="119">
      <formula>$Q$48</formula>
    </cfRule>
  </conditionalFormatting>
  <conditionalFormatting sqref="O46:Q46 O48:Q49 O50:O51 Q50:Q51">
    <cfRule type="expression" dxfId="448" priority="120">
      <formula>$Q$47</formula>
    </cfRule>
  </conditionalFormatting>
  <conditionalFormatting sqref="O46:Q49">
    <cfRule type="expression" dxfId="447" priority="29">
      <formula>$Q$50</formula>
    </cfRule>
  </conditionalFormatting>
  <conditionalFormatting sqref="O53:Q53 O55:Q56">
    <cfRule type="expression" dxfId="446" priority="59">
      <formula>$Q$54</formula>
    </cfRule>
  </conditionalFormatting>
  <conditionalFormatting sqref="O53:Q54 O56:Q56">
    <cfRule type="expression" dxfId="445" priority="58">
      <formula>$Q$55</formula>
    </cfRule>
  </conditionalFormatting>
  <conditionalFormatting sqref="O53:Q55">
    <cfRule type="expression" dxfId="444" priority="57">
      <formula>$Q$56</formula>
    </cfRule>
  </conditionalFormatting>
  <conditionalFormatting sqref="O54:Q56">
    <cfRule type="expression" dxfId="443" priority="60">
      <formula>$Q$53</formula>
    </cfRule>
  </conditionalFormatting>
  <conditionalFormatting sqref="O58:Q59 O61 Q61">
    <cfRule type="expression" dxfId="442" priority="189">
      <formula>$Q$60</formula>
    </cfRule>
  </conditionalFormatting>
  <conditionalFormatting sqref="O58:Q60">
    <cfRule type="expression" dxfId="441" priority="188">
      <formula>$Q$61</formula>
    </cfRule>
  </conditionalFormatting>
  <conditionalFormatting sqref="O63:Q63 O65:Q67">
    <cfRule type="expression" dxfId="440" priority="130">
      <formula>$Q$64</formula>
    </cfRule>
  </conditionalFormatting>
  <conditionalFormatting sqref="O63:Q64 O66:Q67">
    <cfRule type="expression" dxfId="439" priority="129">
      <formula>$Q$65</formula>
    </cfRule>
  </conditionalFormatting>
  <conditionalFormatting sqref="O63:Q65 O67:Q67">
    <cfRule type="expression" dxfId="438" priority="128">
      <formula>$Q$66</formula>
    </cfRule>
  </conditionalFormatting>
  <conditionalFormatting sqref="O63:Q66">
    <cfRule type="expression" dxfId="437" priority="127">
      <formula>$Q$67</formula>
    </cfRule>
  </conditionalFormatting>
  <conditionalFormatting sqref="O64:Q67">
    <cfRule type="expression" dxfId="436" priority="131">
      <formula>$Q$63</formula>
    </cfRule>
  </conditionalFormatting>
  <conditionalFormatting sqref="O86:Q86 O88:Q91">
    <cfRule type="expression" dxfId="435" priority="55">
      <formula>$Q$87</formula>
    </cfRule>
  </conditionalFormatting>
  <conditionalFormatting sqref="O86:Q87 O89:Q91">
    <cfRule type="expression" dxfId="434" priority="54">
      <formula>$Q$88</formula>
    </cfRule>
  </conditionalFormatting>
  <conditionalFormatting sqref="O86:Q88 O90:Q91">
    <cfRule type="expression" dxfId="433" priority="53">
      <formula>$Q$89</formula>
    </cfRule>
  </conditionalFormatting>
  <conditionalFormatting sqref="O86:Q89 O91:Q91">
    <cfRule type="expression" dxfId="432" priority="52">
      <formula>$Q$90</formula>
    </cfRule>
  </conditionalFormatting>
  <conditionalFormatting sqref="O86:Q90">
    <cfRule type="expression" dxfId="431" priority="51">
      <formula>$Q$91</formula>
    </cfRule>
  </conditionalFormatting>
  <conditionalFormatting sqref="O87:Q91">
    <cfRule type="expression" dxfId="430" priority="56">
      <formula>$Q$86</formula>
    </cfRule>
  </conditionalFormatting>
  <conditionalFormatting sqref="O93:Q93 O95:Q96">
    <cfRule type="expression" dxfId="429" priority="4">
      <formula>$Q$94</formula>
    </cfRule>
  </conditionalFormatting>
  <conditionalFormatting sqref="O93:Q94 O96:Q96">
    <cfRule type="expression" dxfId="428" priority="3">
      <formula>$Q$95</formula>
    </cfRule>
  </conditionalFormatting>
  <conditionalFormatting sqref="O93:Q95">
    <cfRule type="expression" dxfId="427" priority="2">
      <formula>$Q$96</formula>
    </cfRule>
  </conditionalFormatting>
  <conditionalFormatting sqref="O94:Q96">
    <cfRule type="expression" dxfId="426" priority="5">
      <formula>$Q$93</formula>
    </cfRule>
  </conditionalFormatting>
  <conditionalFormatting sqref="O103:Q105 O107:Q109">
    <cfRule type="expression" dxfId="425" priority="1">
      <formula>$Q$106</formula>
    </cfRule>
  </conditionalFormatting>
  <conditionalFormatting sqref="O111:Q115">
    <cfRule type="expression" dxfId="424" priority="83">
      <formula>$Q$116</formula>
    </cfRule>
  </conditionalFormatting>
  <conditionalFormatting sqref="O118:Q121">
    <cfRule type="expression" dxfId="423" priority="81">
      <formula>$Q$122</formula>
    </cfRule>
    <cfRule type="expression" dxfId="422" priority="19">
      <formula>$Q$122</formula>
    </cfRule>
  </conditionalFormatting>
  <conditionalFormatting sqref="P98:Q98">
    <cfRule type="expression" dxfId="421" priority="117">
      <formula>ISNUMBER($P$98)</formula>
    </cfRule>
  </conditionalFormatting>
  <conditionalFormatting sqref="P99:Q99">
    <cfRule type="expression" dxfId="420" priority="116">
      <formula>ISNUMBER($P$99)</formula>
    </cfRule>
  </conditionalFormatting>
  <conditionalFormatting sqref="P100:Q100">
    <cfRule type="expression" dxfId="419" priority="115">
      <formula>ISNUMBER($P$100)</formula>
    </cfRule>
  </conditionalFormatting>
  <conditionalFormatting sqref="P101:Q101">
    <cfRule type="expression" dxfId="418" priority="114">
      <formula>ISNUMBER($P$101)</formula>
    </cfRule>
  </conditionalFormatting>
  <conditionalFormatting sqref="S69">
    <cfRule type="expression" dxfId="417" priority="759">
      <formula>$Q$76</formula>
    </cfRule>
  </conditionalFormatting>
  <conditionalFormatting sqref="S103">
    <cfRule type="expression" dxfId="416" priority="141">
      <formula>$Q$109</formula>
    </cfRule>
  </conditionalFormatting>
  <conditionalFormatting sqref="S111">
    <cfRule type="expression" dxfId="415" priority="139">
      <formula>$Q$115</formula>
    </cfRule>
  </conditionalFormatting>
  <conditionalFormatting sqref="S98:V101">
    <cfRule type="expression" dxfId="414" priority="142">
      <formula>$Q$101</formula>
    </cfRule>
  </conditionalFormatting>
  <conditionalFormatting sqref="Z7">
    <cfRule type="expression" dxfId="413" priority="113">
      <formula>$Q$10</formula>
    </cfRule>
    <cfRule type="expression" dxfId="412" priority="112">
      <formula>$Q$9</formula>
    </cfRule>
    <cfRule type="expression" dxfId="411" priority="111">
      <formula>$Q$8</formula>
    </cfRule>
  </conditionalFormatting>
  <conditionalFormatting sqref="Z13">
    <cfRule type="expression" dxfId="410" priority="110">
      <formula>$Q$16</formula>
    </cfRule>
    <cfRule type="expression" dxfId="409" priority="109">
      <formula>$Q$15</formula>
    </cfRule>
    <cfRule type="expression" dxfId="408" priority="108">
      <formula>$Q$14</formula>
    </cfRule>
  </conditionalFormatting>
  <conditionalFormatting sqref="Z24">
    <cfRule type="expression" dxfId="407" priority="106">
      <formula>$Q$27</formula>
    </cfRule>
  </conditionalFormatting>
  <conditionalFormatting sqref="Z29">
    <cfRule type="expression" dxfId="406" priority="104">
      <formula>$Q$31</formula>
    </cfRule>
    <cfRule type="expression" dxfId="405" priority="103">
      <formula>$Q$30</formula>
    </cfRule>
    <cfRule type="expression" dxfId="404" priority="105">
      <formula>$Q$32</formula>
    </cfRule>
  </conditionalFormatting>
  <conditionalFormatting sqref="Z35">
    <cfRule type="expression" dxfId="403" priority="61">
      <formula>$Q$37</formula>
    </cfRule>
    <cfRule type="expression" dxfId="402" priority="102">
      <formula>$AF$38</formula>
    </cfRule>
  </conditionalFormatting>
  <conditionalFormatting sqref="Z46">
    <cfRule type="expression" dxfId="401" priority="97">
      <formula>$Q$49</formula>
    </cfRule>
    <cfRule type="expression" dxfId="400" priority="95">
      <formula>$Q$47</formula>
    </cfRule>
    <cfRule type="expression" dxfId="399" priority="96">
      <formula>$Q$48</formula>
    </cfRule>
  </conditionalFormatting>
  <conditionalFormatting sqref="Z52">
    <cfRule type="expression" dxfId="398" priority="43">
      <formula>$AF$56</formula>
    </cfRule>
    <cfRule type="expression" dxfId="397" priority="94">
      <formula>$Q$55</formula>
    </cfRule>
  </conditionalFormatting>
  <conditionalFormatting sqref="Z7:AC11">
    <cfRule type="expression" dxfId="396" priority="36">
      <formula>$AF$11</formula>
    </cfRule>
  </conditionalFormatting>
  <conditionalFormatting sqref="Z13:AC17">
    <cfRule type="expression" dxfId="395" priority="34">
      <formula>$Q$17</formula>
    </cfRule>
  </conditionalFormatting>
  <conditionalFormatting sqref="Z19:AC22">
    <cfRule type="expression" dxfId="394" priority="107">
      <formula>$Q$21</formula>
    </cfRule>
  </conditionalFormatting>
  <conditionalFormatting sqref="Z24:AC27">
    <cfRule type="expression" dxfId="393" priority="62">
      <formula>$Q$26</formula>
    </cfRule>
  </conditionalFormatting>
  <conditionalFormatting sqref="Z29:AC33">
    <cfRule type="expression" dxfId="392" priority="31">
      <formula>$Q$33</formula>
    </cfRule>
  </conditionalFormatting>
  <conditionalFormatting sqref="Z35:AC39">
    <cfRule type="expression" dxfId="391" priority="26">
      <formula>$Q$36</formula>
    </cfRule>
    <cfRule type="expression" dxfId="390" priority="27">
      <formula>$Q$39</formula>
    </cfRule>
  </conditionalFormatting>
  <conditionalFormatting sqref="Z41:AC44">
    <cfRule type="expression" dxfId="389" priority="100">
      <formula>$Q$44</formula>
    </cfRule>
    <cfRule type="expression" dxfId="388" priority="44">
      <formula>$AF$43</formula>
    </cfRule>
  </conditionalFormatting>
  <conditionalFormatting sqref="Z46:AC51">
    <cfRule type="expression" dxfId="387" priority="30">
      <formula>$Q$50</formula>
    </cfRule>
  </conditionalFormatting>
  <conditionalFormatting sqref="Z58:AC61">
    <cfRule type="expression" dxfId="386" priority="93">
      <formula>$Q$61</formula>
    </cfRule>
  </conditionalFormatting>
  <conditionalFormatting sqref="Z63:AC67">
    <cfRule type="expression" dxfId="385" priority="89">
      <formula>$Q$65</formula>
    </cfRule>
    <cfRule type="expression" dxfId="384" priority="92">
      <formula>$Q$67</formula>
    </cfRule>
    <cfRule type="expression" dxfId="383" priority="91">
      <formula>$Q$66</formula>
    </cfRule>
    <cfRule type="expression" dxfId="382" priority="90">
      <formula>$Q$64</formula>
    </cfRule>
  </conditionalFormatting>
  <conditionalFormatting sqref="Z86:AC91">
    <cfRule type="expression" dxfId="381" priority="88">
      <formula>$Q$91</formula>
    </cfRule>
    <cfRule type="expression" dxfId="380" priority="42">
      <formula>OR($AF$90,$AF$89,$AF$88)</formula>
    </cfRule>
  </conditionalFormatting>
  <conditionalFormatting sqref="Z93:AC96">
    <cfRule type="expression" dxfId="379" priority="87">
      <formula>$Q$96</formula>
    </cfRule>
    <cfRule type="expression" dxfId="378" priority="46">
      <formula>$Q$95</formula>
    </cfRule>
    <cfRule type="expression" dxfId="377" priority="86">
      <formula>$Q$94</formula>
    </cfRule>
  </conditionalFormatting>
  <conditionalFormatting sqref="Z103:AC109">
    <cfRule type="expression" dxfId="376" priority="774">
      <formula>$AF$106</formula>
    </cfRule>
  </conditionalFormatting>
  <conditionalFormatting sqref="Z111:AC116">
    <cfRule type="expression" dxfId="375" priority="82">
      <formula>$Q$116</formula>
    </cfRule>
  </conditionalFormatting>
  <conditionalFormatting sqref="Z118:AC124">
    <cfRule type="expression" dxfId="374" priority="63">
      <formula>$AF$124&gt;2</formula>
    </cfRule>
    <cfRule type="expression" dxfId="373" priority="64">
      <formula>AND(AF124&gt;=1, AF124&lt;=2)</formula>
    </cfRule>
    <cfRule type="expression" dxfId="372" priority="65">
      <formula>$Q$122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5928-F0C5-416A-88E8-E0C214156102}">
  <sheetPr codeName="Sheet13">
    <tabColor theme="6" tint="0.39997558519241921"/>
  </sheetPr>
  <dimension ref="B1:AZ138"/>
  <sheetViews>
    <sheetView showGridLines="0" zoomScale="77" zoomScaleNormal="85" workbookViewId="0">
      <selection activeCell="AU94" sqref="AU94"/>
    </sheetView>
  </sheetViews>
  <sheetFormatPr defaultColWidth="8.77734375" defaultRowHeight="17.399999999999999"/>
  <cols>
    <col min="1" max="1" width="4.21875" style="90" customWidth="1"/>
    <col min="2" max="2" width="3.21875" style="90" customWidth="1"/>
    <col min="3" max="6" width="8" style="90" customWidth="1"/>
    <col min="7" max="9" width="3.21875" style="90" customWidth="1"/>
    <col min="10" max="10" width="9.6640625" style="124" customWidth="1"/>
    <col min="11" max="13" width="12.77734375" style="215" customWidth="1"/>
    <col min="14" max="14" width="2.88671875" style="90" customWidth="1"/>
    <col min="15" max="15" width="12.21875" style="139" bestFit="1" customWidth="1"/>
    <col min="16" max="16" width="5.77734375" style="125" bestFit="1" customWidth="1"/>
    <col min="17" max="17" width="26.21875" style="139" customWidth="1"/>
    <col min="18" max="18" width="3.77734375" style="125" customWidth="1"/>
    <col min="19" max="19" width="28.33203125" style="139" bestFit="1" customWidth="1"/>
    <col min="20" max="20" width="3.6640625" style="125" customWidth="1"/>
    <col min="21" max="21" width="28.109375" style="125" customWidth="1"/>
    <col min="22" max="22" width="3.5546875" style="125" customWidth="1"/>
    <col min="23" max="23" width="21" style="139" bestFit="1" customWidth="1"/>
    <col min="24" max="24" width="5.44140625" style="125" bestFit="1" customWidth="1"/>
    <col min="25" max="25" width="52.21875" style="139" customWidth="1"/>
    <col min="26" max="26" width="3.77734375" style="94" customWidth="1"/>
    <col min="27" max="27" width="3.109375" style="90" customWidth="1"/>
    <col min="28" max="31" width="7.44140625" style="90" customWidth="1"/>
    <col min="32" max="34" width="3.21875" style="90" customWidth="1"/>
    <col min="35" max="38" width="19.33203125" style="90" customWidth="1"/>
    <col min="39" max="39" width="3.21875" style="90" customWidth="1"/>
    <col min="40" max="40" width="8.77734375" style="99"/>
    <col min="41" max="41" width="27.33203125" style="99" bestFit="1" customWidth="1"/>
    <col min="42" max="42" width="27.88671875" style="99" bestFit="1" customWidth="1"/>
    <col min="43" max="43" width="20.109375" style="99" bestFit="1" customWidth="1"/>
    <col min="44" max="44" width="20.109375" style="99" customWidth="1"/>
    <col min="45" max="45" width="8.77734375" style="99" bestFit="1" customWidth="1"/>
    <col min="46" max="46" width="8.33203125" style="98" bestFit="1" customWidth="1"/>
    <col min="47" max="47" width="16.44140625" style="98" bestFit="1" customWidth="1"/>
    <col min="48" max="48" width="13.6640625" style="94" bestFit="1" customWidth="1"/>
    <col min="49" max="49" width="12.88671875" style="94" customWidth="1"/>
    <col min="50" max="50" width="13.6640625" style="99" bestFit="1" customWidth="1"/>
    <col min="51" max="51" width="18.33203125" style="90" bestFit="1" customWidth="1"/>
    <col min="52" max="52" width="19.33203125" style="90" bestFit="1" customWidth="1"/>
    <col min="53" max="16384" width="8.77734375" style="90"/>
  </cols>
  <sheetData>
    <row r="1" spans="2:52" ht="18" thickBot="1"/>
    <row r="2" spans="2:52" ht="16.05" customHeight="1">
      <c r="B2" s="724" t="s">
        <v>61</v>
      </c>
      <c r="C2" s="725"/>
      <c r="D2" s="725"/>
      <c r="E2" s="725"/>
      <c r="F2" s="725"/>
      <c r="G2" s="726"/>
      <c r="H2" s="528"/>
      <c r="I2" s="724" t="s">
        <v>65</v>
      </c>
      <c r="J2" s="725"/>
      <c r="K2" s="725"/>
      <c r="L2" s="725"/>
      <c r="M2" s="725"/>
      <c r="N2" s="725"/>
      <c r="O2" s="725"/>
      <c r="P2" s="725"/>
      <c r="Q2" s="725"/>
      <c r="R2" s="725"/>
      <c r="S2" s="725"/>
      <c r="T2" s="725"/>
      <c r="U2" s="725"/>
      <c r="V2" s="725"/>
      <c r="W2" s="725"/>
      <c r="X2" s="725"/>
      <c r="Y2" s="725"/>
      <c r="Z2" s="725"/>
      <c r="AA2" s="725"/>
      <c r="AB2" s="725"/>
      <c r="AC2" s="725"/>
      <c r="AD2" s="725"/>
      <c r="AE2" s="725"/>
      <c r="AF2" s="726"/>
      <c r="AG2" s="528"/>
      <c r="AH2" s="724" t="s">
        <v>329</v>
      </c>
      <c r="AI2" s="725"/>
      <c r="AJ2" s="725"/>
      <c r="AK2" s="725"/>
      <c r="AL2" s="725"/>
      <c r="AM2" s="726"/>
    </row>
    <row r="3" spans="2:52" ht="16.05" customHeight="1" thickBot="1">
      <c r="B3" s="727"/>
      <c r="C3" s="728"/>
      <c r="D3" s="728"/>
      <c r="E3" s="728"/>
      <c r="F3" s="728"/>
      <c r="G3" s="729"/>
      <c r="H3" s="528"/>
      <c r="I3" s="727"/>
      <c r="J3" s="728"/>
      <c r="K3" s="728"/>
      <c r="L3" s="728"/>
      <c r="M3" s="728"/>
      <c r="N3" s="728"/>
      <c r="O3" s="728"/>
      <c r="P3" s="728"/>
      <c r="Q3" s="728"/>
      <c r="R3" s="728"/>
      <c r="S3" s="728"/>
      <c r="T3" s="728"/>
      <c r="U3" s="728"/>
      <c r="V3" s="728"/>
      <c r="W3" s="728"/>
      <c r="X3" s="728"/>
      <c r="Y3" s="728"/>
      <c r="Z3" s="728"/>
      <c r="AA3" s="728"/>
      <c r="AB3" s="728"/>
      <c r="AC3" s="728"/>
      <c r="AD3" s="728"/>
      <c r="AE3" s="728"/>
      <c r="AF3" s="729"/>
      <c r="AG3" s="528"/>
      <c r="AH3" s="727"/>
      <c r="AI3" s="728"/>
      <c r="AJ3" s="728"/>
      <c r="AK3" s="728"/>
      <c r="AL3" s="728"/>
      <c r="AM3" s="729"/>
    </row>
    <row r="4" spans="2:52">
      <c r="B4" s="69"/>
      <c r="C4" s="68"/>
      <c r="D4" s="68"/>
      <c r="E4" s="68"/>
      <c r="F4" s="68"/>
      <c r="G4" s="70"/>
      <c r="H4" s="166"/>
      <c r="I4" s="69"/>
      <c r="J4" s="56"/>
      <c r="K4" s="208"/>
      <c r="L4" s="208"/>
      <c r="M4" s="208"/>
      <c r="N4" s="68"/>
      <c r="O4" s="40"/>
      <c r="P4" s="25"/>
      <c r="Q4" s="40"/>
      <c r="R4" s="25"/>
      <c r="S4" s="941"/>
      <c r="T4" s="941"/>
      <c r="U4" s="941"/>
      <c r="V4" s="941"/>
      <c r="W4" s="941"/>
      <c r="X4" s="25"/>
      <c r="Y4" s="40"/>
      <c r="Z4" s="25"/>
      <c r="AA4" s="68"/>
      <c r="AB4" s="68"/>
      <c r="AC4" s="68"/>
      <c r="AD4" s="68"/>
      <c r="AE4" s="68"/>
      <c r="AF4" s="70"/>
      <c r="AG4" s="166"/>
      <c r="AH4" s="69"/>
      <c r="AI4" s="68"/>
      <c r="AJ4" s="68"/>
      <c r="AK4" s="68"/>
      <c r="AL4" s="68"/>
      <c r="AM4" s="70"/>
      <c r="AO4" s="179" t="s">
        <v>520</v>
      </c>
      <c r="AP4" s="179" t="s">
        <v>521</v>
      </c>
    </row>
    <row r="5" spans="2:52" ht="18" customHeight="1">
      <c r="B5" s="69"/>
      <c r="C5" s="68"/>
      <c r="D5" s="68"/>
      <c r="E5" s="68"/>
      <c r="F5" s="68"/>
      <c r="G5" s="70"/>
      <c r="H5" s="166"/>
      <c r="I5" s="69"/>
      <c r="J5" s="28" t="s">
        <v>10</v>
      </c>
      <c r="K5" s="209" t="s">
        <v>631</v>
      </c>
      <c r="L5" s="208"/>
      <c r="M5" s="208"/>
      <c r="N5" s="68"/>
      <c r="O5" s="40"/>
      <c r="P5" s="942" t="s">
        <v>941</v>
      </c>
      <c r="Q5" s="943"/>
      <c r="R5" s="944"/>
      <c r="S5" s="938" t="str">
        <f>Company_Information!D15</f>
        <v>Total Reduction (%)</v>
      </c>
      <c r="T5" s="939"/>
      <c r="U5" s="938" t="str">
        <f>Company_Information!E15</f>
        <v>Baseline year (yyyy)</v>
      </c>
      <c r="V5" s="939"/>
      <c r="W5" s="522" t="str">
        <f>Company_Information!G15</f>
        <v>Target Year (yyyy)</v>
      </c>
      <c r="X5" s="25"/>
      <c r="Y5" s="40"/>
      <c r="Z5" s="25"/>
      <c r="AA5" s="68"/>
      <c r="AB5" s="68"/>
      <c r="AC5" s="68"/>
      <c r="AD5" s="68"/>
      <c r="AE5" s="68"/>
      <c r="AF5" s="70"/>
      <c r="AG5" s="166"/>
      <c r="AH5" s="69"/>
      <c r="AI5" s="926" t="str">
        <f>IF(OR(AND(AO5=0, AP5=1), AND(AO5=1, AP5=0)), Feedback_List!B48, IF(OR(AO5=0, AP5=0), "", IF(OR(AO5=1, AP5=1), Feedback_List!B48, "")))</f>
        <v/>
      </c>
      <c r="AJ5" s="927"/>
      <c r="AK5" s="927"/>
      <c r="AL5" s="928"/>
      <c r="AM5" s="70"/>
      <c r="AO5" s="180">
        <f>IF(AND(SUM(AO8:AT10)=0),0,IF(AND(SUM(AO8:AT10)&lt;3),1, 2))</f>
        <v>0</v>
      </c>
      <c r="AP5" s="180">
        <f>IF(AND(SUM(AO14:AT16)=0),0,IF(AND(SUM(AO14:AT16)&lt;3),1, 2))</f>
        <v>0</v>
      </c>
      <c r="AW5" s="105" t="s">
        <v>313</v>
      </c>
      <c r="AX5" s="105" t="s">
        <v>314</v>
      </c>
      <c r="AY5" s="105" t="s">
        <v>314</v>
      </c>
      <c r="AZ5" s="680" t="s">
        <v>368</v>
      </c>
    </row>
    <row r="6" spans="2:52" ht="18" customHeight="1">
      <c r="B6" s="69"/>
      <c r="C6" s="68"/>
      <c r="D6" s="68"/>
      <c r="E6" s="68"/>
      <c r="F6" s="68"/>
      <c r="G6" s="70"/>
      <c r="H6" s="166"/>
      <c r="I6" s="69"/>
      <c r="J6" s="28"/>
      <c r="K6" s="209"/>
      <c r="L6" s="208"/>
      <c r="M6" s="208"/>
      <c r="N6" s="68"/>
      <c r="O6" s="40"/>
      <c r="P6" s="945"/>
      <c r="Q6" s="946"/>
      <c r="R6" s="947"/>
      <c r="S6" s="940">
        <f>Company_Information!D16</f>
        <v>0</v>
      </c>
      <c r="T6" s="939"/>
      <c r="U6" s="938">
        <f>Company_Information!E16</f>
        <v>0</v>
      </c>
      <c r="V6" s="939"/>
      <c r="W6" s="523">
        <f>Company_Information!G16</f>
        <v>0</v>
      </c>
      <c r="X6" s="25"/>
      <c r="Y6" s="40"/>
      <c r="Z6" s="25"/>
      <c r="AA6" s="68"/>
      <c r="AB6" s="68"/>
      <c r="AC6" s="68"/>
      <c r="AD6" s="68"/>
      <c r="AE6" s="68"/>
      <c r="AF6" s="70"/>
      <c r="AG6" s="166"/>
      <c r="AH6" s="69"/>
      <c r="AI6" s="929"/>
      <c r="AJ6" s="930"/>
      <c r="AK6" s="930"/>
      <c r="AL6" s="931"/>
      <c r="AM6" s="70"/>
      <c r="AW6" s="180"/>
      <c r="AX6" s="180" t="s">
        <v>366</v>
      </c>
      <c r="AY6" s="180" t="s">
        <v>367</v>
      </c>
      <c r="AZ6" s="680"/>
    </row>
    <row r="7" spans="2:52" ht="15.6">
      <c r="B7" s="69"/>
      <c r="C7" s="893" t="s">
        <v>1129</v>
      </c>
      <c r="D7" s="894"/>
      <c r="E7" s="894"/>
      <c r="F7" s="895"/>
      <c r="G7" s="70"/>
      <c r="H7" s="166"/>
      <c r="I7" s="69"/>
      <c r="J7" s="662">
        <v>1.1000000000000001</v>
      </c>
      <c r="K7" s="818" t="s">
        <v>1130</v>
      </c>
      <c r="L7" s="818"/>
      <c r="M7" s="819"/>
      <c r="N7" s="68"/>
      <c r="O7" s="892" t="s">
        <v>424</v>
      </c>
      <c r="P7" s="892"/>
      <c r="Q7" s="892"/>
      <c r="R7" s="892"/>
      <c r="S7" s="892"/>
      <c r="T7" s="892"/>
      <c r="U7" s="892"/>
      <c r="V7" s="892"/>
      <c r="W7" s="892"/>
      <c r="X7" s="892"/>
      <c r="Y7" s="892"/>
      <c r="Z7" s="892"/>
      <c r="AA7" s="68"/>
      <c r="AB7" s="920" t="s">
        <v>60</v>
      </c>
      <c r="AC7" s="624"/>
      <c r="AD7" s="624"/>
      <c r="AE7" s="625"/>
      <c r="AF7" s="70"/>
      <c r="AG7" s="166"/>
      <c r="AH7" s="69"/>
      <c r="AI7" s="929"/>
      <c r="AJ7" s="930"/>
      <c r="AK7" s="930"/>
      <c r="AL7" s="931"/>
      <c r="AM7" s="70"/>
      <c r="AO7" s="935" t="s">
        <v>522</v>
      </c>
      <c r="AP7" s="936"/>
      <c r="AQ7" s="936"/>
      <c r="AR7" s="936"/>
      <c r="AS7" s="936"/>
      <c r="AT7" s="937"/>
      <c r="AU7" s="179" t="s">
        <v>433</v>
      </c>
      <c r="AW7" s="108">
        <v>1</v>
      </c>
      <c r="AX7" s="108">
        <v>35</v>
      </c>
      <c r="AY7" s="108">
        <v>4</v>
      </c>
      <c r="AZ7" s="193">
        <f>AY7/AX7</f>
        <v>0.11428571428571428</v>
      </c>
    </row>
    <row r="8" spans="2:52" ht="21" customHeight="1">
      <c r="B8" s="69"/>
      <c r="C8" s="896"/>
      <c r="D8" s="897"/>
      <c r="E8" s="897"/>
      <c r="F8" s="898"/>
      <c r="G8" s="70"/>
      <c r="H8" s="166"/>
      <c r="I8" s="69"/>
      <c r="J8" s="663"/>
      <c r="K8" s="821"/>
      <c r="L8" s="821"/>
      <c r="M8" s="822"/>
      <c r="N8" s="68"/>
      <c r="O8" s="228" t="s">
        <v>420</v>
      </c>
      <c r="P8" s="537" t="b">
        <v>0</v>
      </c>
      <c r="Q8" s="221" t="s">
        <v>412</v>
      </c>
      <c r="R8" s="537" t="b">
        <v>0</v>
      </c>
      <c r="S8" s="221" t="s">
        <v>413</v>
      </c>
      <c r="T8" s="537" t="b">
        <v>0</v>
      </c>
      <c r="U8" s="536" t="s">
        <v>1125</v>
      </c>
      <c r="V8" s="538" t="b">
        <v>0</v>
      </c>
      <c r="W8" s="221" t="s">
        <v>999</v>
      </c>
      <c r="X8" s="537" t="b">
        <v>0</v>
      </c>
      <c r="Y8" s="221" t="s">
        <v>995</v>
      </c>
      <c r="Z8" s="537" t="b">
        <v>0</v>
      </c>
      <c r="AA8" s="68"/>
      <c r="AB8" s="921"/>
      <c r="AC8" s="645"/>
      <c r="AD8" s="645"/>
      <c r="AE8" s="646"/>
      <c r="AF8" s="70"/>
      <c r="AG8" s="166"/>
      <c r="AH8" s="69"/>
      <c r="AI8" s="929"/>
      <c r="AJ8" s="930"/>
      <c r="AK8" s="930"/>
      <c r="AL8" s="931"/>
      <c r="AM8" s="70"/>
      <c r="AO8" s="117">
        <f>IF(P8,1,0)</f>
        <v>0</v>
      </c>
      <c r="AP8" s="98">
        <f>IF(R8,1,0)</f>
        <v>0</v>
      </c>
      <c r="AQ8" s="98">
        <f>IF(T8,1,0)</f>
        <v>0</v>
      </c>
      <c r="AR8" s="98">
        <f>IF(V8,1,0)</f>
        <v>0</v>
      </c>
      <c r="AS8" s="98">
        <f>IF(X8,1,0)</f>
        <v>0</v>
      </c>
      <c r="AT8" s="116">
        <f>IF(Z8,1,0)</f>
        <v>0</v>
      </c>
      <c r="AU8" s="733">
        <f>IF(SUM(AO8:AT10)&gt;=3,10,0)</f>
        <v>0</v>
      </c>
      <c r="AW8" s="108">
        <v>2</v>
      </c>
      <c r="AX8" s="108">
        <v>8</v>
      </c>
      <c r="AY8" s="108">
        <v>3</v>
      </c>
      <c r="AZ8" s="193">
        <f>AY8/AX8</f>
        <v>0.375</v>
      </c>
    </row>
    <row r="9" spans="2:52" ht="21" customHeight="1">
      <c r="B9" s="69"/>
      <c r="C9" s="896"/>
      <c r="D9" s="897"/>
      <c r="E9" s="897"/>
      <c r="F9" s="898"/>
      <c r="G9" s="70"/>
      <c r="H9" s="166"/>
      <c r="I9" s="69"/>
      <c r="J9" s="663"/>
      <c r="K9" s="821"/>
      <c r="L9" s="821"/>
      <c r="M9" s="822"/>
      <c r="N9" s="68"/>
      <c r="O9" s="221" t="s">
        <v>414</v>
      </c>
      <c r="P9" s="537" t="b">
        <v>0</v>
      </c>
      <c r="Q9" s="221" t="s">
        <v>415</v>
      </c>
      <c r="R9" s="537" t="b">
        <v>0</v>
      </c>
      <c r="S9" s="221" t="s">
        <v>416</v>
      </c>
      <c r="T9" s="537" t="b">
        <v>0</v>
      </c>
      <c r="U9" s="536" t="s">
        <v>1126</v>
      </c>
      <c r="V9" s="538" t="b">
        <v>0</v>
      </c>
      <c r="W9" s="221" t="s">
        <v>1000</v>
      </c>
      <c r="X9" s="537" t="b">
        <v>0</v>
      </c>
      <c r="Y9" s="221" t="s">
        <v>998</v>
      </c>
      <c r="Z9" s="537" t="b">
        <v>0</v>
      </c>
      <c r="AA9" s="68"/>
      <c r="AB9" s="921"/>
      <c r="AC9" s="645"/>
      <c r="AD9" s="645"/>
      <c r="AE9" s="646"/>
      <c r="AF9" s="70"/>
      <c r="AG9" s="166"/>
      <c r="AH9" s="69"/>
      <c r="AI9" s="929"/>
      <c r="AJ9" s="930"/>
      <c r="AK9" s="930"/>
      <c r="AL9" s="931"/>
      <c r="AM9" s="70"/>
      <c r="AO9" s="117">
        <f>IF(P9,1,0)</f>
        <v>0</v>
      </c>
      <c r="AP9" s="98">
        <f>IF(R9,1,0)</f>
        <v>0</v>
      </c>
      <c r="AQ9" s="98">
        <f>IF(T9,1,0)</f>
        <v>0</v>
      </c>
      <c r="AR9" s="98">
        <f t="shared" ref="AR9:AR11" si="0">IF(V9,1,0)</f>
        <v>0</v>
      </c>
      <c r="AS9" s="98">
        <f>IF(X9,1,0)</f>
        <v>0</v>
      </c>
      <c r="AT9" s="116">
        <f>IF(Z9,1,0)</f>
        <v>0</v>
      </c>
      <c r="AU9" s="734"/>
      <c r="AW9" s="108">
        <v>3</v>
      </c>
      <c r="AX9" s="108">
        <v>22</v>
      </c>
      <c r="AY9" s="108">
        <v>6</v>
      </c>
      <c r="AZ9" s="193">
        <f>AY9/AX9</f>
        <v>0.27272727272727271</v>
      </c>
    </row>
    <row r="10" spans="2:52" ht="22.05" customHeight="1">
      <c r="B10" s="69"/>
      <c r="C10" s="896"/>
      <c r="D10" s="897"/>
      <c r="E10" s="897"/>
      <c r="F10" s="898"/>
      <c r="G10" s="70"/>
      <c r="H10" s="166"/>
      <c r="I10" s="69"/>
      <c r="J10" s="663"/>
      <c r="K10" s="821"/>
      <c r="L10" s="821"/>
      <c r="M10" s="822"/>
      <c r="N10" s="68"/>
      <c r="O10" s="221" t="s">
        <v>417</v>
      </c>
      <c r="P10" s="537" t="b">
        <v>0</v>
      </c>
      <c r="Q10" s="221" t="s">
        <v>418</v>
      </c>
      <c r="R10" s="537" t="b">
        <v>0</v>
      </c>
      <c r="S10" s="221" t="s">
        <v>419</v>
      </c>
      <c r="T10" s="537" t="b">
        <v>0</v>
      </c>
      <c r="U10" s="536" t="s">
        <v>1127</v>
      </c>
      <c r="V10" s="538" t="b">
        <v>0</v>
      </c>
      <c r="W10" s="221" t="s">
        <v>1001</v>
      </c>
      <c r="X10" s="537" t="b">
        <v>0</v>
      </c>
      <c r="Y10" s="221" t="s">
        <v>996</v>
      </c>
      <c r="Z10" s="537" t="b">
        <v>0</v>
      </c>
      <c r="AA10" s="68"/>
      <c r="AB10" s="921"/>
      <c r="AC10" s="645"/>
      <c r="AD10" s="645"/>
      <c r="AE10" s="646"/>
      <c r="AF10" s="70"/>
      <c r="AG10" s="166"/>
      <c r="AH10" s="69"/>
      <c r="AI10" s="929"/>
      <c r="AJ10" s="930"/>
      <c r="AK10" s="930"/>
      <c r="AL10" s="931"/>
      <c r="AM10" s="70"/>
      <c r="AO10" s="117">
        <f>IF(P10,1,0)</f>
        <v>0</v>
      </c>
      <c r="AP10" s="98">
        <f>IF(R10,1,0)</f>
        <v>0</v>
      </c>
      <c r="AQ10" s="98">
        <f>IF(T10,1,0)</f>
        <v>0</v>
      </c>
      <c r="AR10" s="98">
        <f t="shared" si="0"/>
        <v>0</v>
      </c>
      <c r="AS10" s="98">
        <f>IF(X10,1,0)</f>
        <v>0</v>
      </c>
      <c r="AT10" s="116">
        <f>IF(Z10,1,0)</f>
        <v>0</v>
      </c>
      <c r="AU10" s="735"/>
      <c r="AW10" s="108">
        <v>4</v>
      </c>
      <c r="AX10" s="108">
        <v>16</v>
      </c>
      <c r="AY10" s="108">
        <v>6</v>
      </c>
      <c r="AZ10" s="193">
        <f>AY10/AX10</f>
        <v>0.375</v>
      </c>
    </row>
    <row r="11" spans="2:52" ht="15.6">
      <c r="B11" s="69"/>
      <c r="C11" s="896"/>
      <c r="D11" s="897"/>
      <c r="E11" s="897"/>
      <c r="F11" s="898"/>
      <c r="G11" s="70"/>
      <c r="H11" s="166"/>
      <c r="I11" s="69"/>
      <c r="J11" s="663"/>
      <c r="K11" s="821"/>
      <c r="L11" s="821"/>
      <c r="M11" s="822"/>
      <c r="N11" s="68"/>
      <c r="O11" s="221" t="s">
        <v>886</v>
      </c>
      <c r="P11" s="537" t="b">
        <v>0</v>
      </c>
      <c r="Q11" s="221" t="s">
        <v>887</v>
      </c>
      <c r="R11" s="537" t="b">
        <v>0</v>
      </c>
      <c r="S11" s="221" t="s">
        <v>888</v>
      </c>
      <c r="T11" s="537" t="b">
        <v>0</v>
      </c>
      <c r="U11" s="536" t="s">
        <v>1128</v>
      </c>
      <c r="V11" s="538" t="b">
        <v>0</v>
      </c>
      <c r="W11" s="221" t="s">
        <v>1002</v>
      </c>
      <c r="X11" s="537" t="b">
        <v>0</v>
      </c>
      <c r="Y11" s="221" t="s">
        <v>997</v>
      </c>
      <c r="Z11" s="537" t="b">
        <v>0</v>
      </c>
      <c r="AA11" s="68"/>
      <c r="AB11" s="921"/>
      <c r="AC11" s="645"/>
      <c r="AD11" s="645"/>
      <c r="AE11" s="646"/>
      <c r="AF11" s="70"/>
      <c r="AG11" s="166"/>
      <c r="AH11" s="69"/>
      <c r="AI11" s="929"/>
      <c r="AJ11" s="930"/>
      <c r="AK11" s="930"/>
      <c r="AL11" s="931"/>
      <c r="AM11" s="70"/>
      <c r="AO11" s="516">
        <f>IF(P11,1,0)</f>
        <v>0</v>
      </c>
      <c r="AP11" s="517">
        <f>IF(R11,1,0)</f>
        <v>0</v>
      </c>
      <c r="AQ11" s="517">
        <f>IF(T11,1,0)</f>
        <v>0</v>
      </c>
      <c r="AR11" s="517">
        <f t="shared" si="0"/>
        <v>0</v>
      </c>
      <c r="AS11" s="517">
        <f>IF(X11,1,0)</f>
        <v>0</v>
      </c>
      <c r="AT11" s="518">
        <f>IF(Z11,1,0)</f>
        <v>0</v>
      </c>
      <c r="AW11" s="108">
        <v>5</v>
      </c>
      <c r="AX11" s="108">
        <v>12</v>
      </c>
      <c r="AY11" s="108">
        <v>3</v>
      </c>
      <c r="AZ11" s="193">
        <f>AY11/AX11</f>
        <v>0.25</v>
      </c>
    </row>
    <row r="12" spans="2:52" ht="15.6">
      <c r="B12" s="69"/>
      <c r="C12" s="896"/>
      <c r="D12" s="897"/>
      <c r="E12" s="897"/>
      <c r="F12" s="898"/>
      <c r="G12" s="70"/>
      <c r="H12" s="166"/>
      <c r="I12" s="69"/>
      <c r="J12" s="663"/>
      <c r="K12" s="821"/>
      <c r="L12" s="821"/>
      <c r="M12" s="822"/>
      <c r="N12" s="68"/>
      <c r="O12" s="62"/>
      <c r="P12" s="18"/>
      <c r="Q12" s="62"/>
      <c r="R12" s="18"/>
      <c r="S12" s="62"/>
      <c r="T12" s="18"/>
      <c r="U12" s="18"/>
      <c r="V12" s="18"/>
      <c r="W12" s="62"/>
      <c r="X12" s="18"/>
      <c r="Y12" s="62"/>
      <c r="Z12" s="18"/>
      <c r="AA12" s="68"/>
      <c r="AB12" s="921"/>
      <c r="AC12" s="645"/>
      <c r="AD12" s="645"/>
      <c r="AE12" s="646"/>
      <c r="AF12" s="70"/>
      <c r="AG12" s="166"/>
      <c r="AH12" s="69"/>
      <c r="AI12" s="929"/>
      <c r="AJ12" s="930"/>
      <c r="AK12" s="930"/>
      <c r="AL12" s="931"/>
      <c r="AM12" s="70"/>
      <c r="AW12" s="246" t="s">
        <v>436</v>
      </c>
      <c r="AX12" s="246">
        <f>SUM(AX7:AX11)</f>
        <v>93</v>
      </c>
      <c r="AY12" s="246">
        <f>SUM(AY7:AY11)</f>
        <v>22</v>
      </c>
    </row>
    <row r="13" spans="2:52" ht="22.5" customHeight="1">
      <c r="B13" s="69"/>
      <c r="C13" s="896"/>
      <c r="D13" s="897"/>
      <c r="E13" s="897"/>
      <c r="F13" s="898"/>
      <c r="G13" s="70"/>
      <c r="H13" s="166"/>
      <c r="I13" s="69"/>
      <c r="J13" s="663"/>
      <c r="K13" s="821"/>
      <c r="L13" s="821"/>
      <c r="M13" s="822"/>
      <c r="N13" s="68"/>
      <c r="O13" s="892" t="s">
        <v>425</v>
      </c>
      <c r="P13" s="892"/>
      <c r="Q13" s="892"/>
      <c r="R13" s="892"/>
      <c r="S13" s="892"/>
      <c r="T13" s="892"/>
      <c r="U13" s="892"/>
      <c r="V13" s="892"/>
      <c r="W13" s="892"/>
      <c r="X13" s="892"/>
      <c r="Y13" s="892"/>
      <c r="Z13" s="892"/>
      <c r="AA13" s="68"/>
      <c r="AB13" s="921"/>
      <c r="AC13" s="645"/>
      <c r="AD13" s="645"/>
      <c r="AE13" s="646"/>
      <c r="AF13" s="70"/>
      <c r="AG13" s="166"/>
      <c r="AH13" s="69"/>
      <c r="AI13" s="929"/>
      <c r="AJ13" s="930"/>
      <c r="AK13" s="930"/>
      <c r="AL13" s="931"/>
      <c r="AM13" s="70"/>
      <c r="AO13" s="935" t="s">
        <v>523</v>
      </c>
      <c r="AP13" s="936"/>
      <c r="AQ13" s="936"/>
      <c r="AR13" s="936"/>
      <c r="AS13" s="936"/>
      <c r="AT13" s="937"/>
      <c r="AU13" s="179" t="s">
        <v>433</v>
      </c>
    </row>
    <row r="14" spans="2:52" ht="22.5" customHeight="1">
      <c r="B14" s="69"/>
      <c r="C14" s="896"/>
      <c r="D14" s="897"/>
      <c r="E14" s="897"/>
      <c r="F14" s="898"/>
      <c r="G14" s="70"/>
      <c r="H14" s="166"/>
      <c r="I14" s="69"/>
      <c r="J14" s="663"/>
      <c r="K14" s="821"/>
      <c r="L14" s="821"/>
      <c r="M14" s="822"/>
      <c r="N14" s="68"/>
      <c r="O14" s="228" t="s">
        <v>420</v>
      </c>
      <c r="P14" s="537" t="b">
        <v>0</v>
      </c>
      <c r="Q14" s="221" t="s">
        <v>412</v>
      </c>
      <c r="R14" s="537" t="b">
        <v>0</v>
      </c>
      <c r="S14" s="221" t="s">
        <v>413</v>
      </c>
      <c r="T14" s="537" t="b">
        <v>0</v>
      </c>
      <c r="U14" s="536" t="s">
        <v>994</v>
      </c>
      <c r="V14" s="538" t="b">
        <v>0</v>
      </c>
      <c r="W14" s="221" t="s">
        <v>999</v>
      </c>
      <c r="X14" s="537" t="b">
        <v>0</v>
      </c>
      <c r="Y14" s="221" t="s">
        <v>995</v>
      </c>
      <c r="Z14" s="227" t="b">
        <v>0</v>
      </c>
      <c r="AA14" s="68"/>
      <c r="AB14" s="921"/>
      <c r="AC14" s="645"/>
      <c r="AD14" s="645"/>
      <c r="AE14" s="646"/>
      <c r="AF14" s="70"/>
      <c r="AG14" s="166"/>
      <c r="AH14" s="69"/>
      <c r="AI14" s="929"/>
      <c r="AJ14" s="930"/>
      <c r="AK14" s="930"/>
      <c r="AL14" s="931"/>
      <c r="AM14" s="70"/>
      <c r="AO14" s="117">
        <f>IF(P14,1,0)</f>
        <v>0</v>
      </c>
      <c r="AP14" s="98">
        <f>IF(R14,1,0)</f>
        <v>0</v>
      </c>
      <c r="AQ14" s="98">
        <f>IF(T14,1,0)</f>
        <v>0</v>
      </c>
      <c r="AR14" s="98">
        <f>IF(V14,1,0)</f>
        <v>0</v>
      </c>
      <c r="AS14" s="98">
        <f>IF(X14,1,0)</f>
        <v>0</v>
      </c>
      <c r="AT14" s="116">
        <f>IF(Z14,1,0)</f>
        <v>0</v>
      </c>
      <c r="AU14" s="733">
        <f>IF(SUM(AO14:AT16)&gt;=3,10,0)</f>
        <v>0</v>
      </c>
    </row>
    <row r="15" spans="2:52" ht="22.5" customHeight="1">
      <c r="B15" s="69"/>
      <c r="C15" s="896"/>
      <c r="D15" s="897"/>
      <c r="E15" s="897"/>
      <c r="F15" s="898"/>
      <c r="G15" s="70"/>
      <c r="H15" s="166"/>
      <c r="I15" s="69"/>
      <c r="J15" s="663"/>
      <c r="K15" s="821"/>
      <c r="L15" s="821"/>
      <c r="M15" s="822"/>
      <c r="N15" s="68"/>
      <c r="O15" s="221" t="s">
        <v>414</v>
      </c>
      <c r="P15" s="537" t="b">
        <v>0</v>
      </c>
      <c r="Q15" s="221" t="s">
        <v>415</v>
      </c>
      <c r="R15" s="537" t="b">
        <v>0</v>
      </c>
      <c r="S15" s="221" t="s">
        <v>416</v>
      </c>
      <c r="T15" s="537" t="b">
        <v>0</v>
      </c>
      <c r="U15" s="536" t="s">
        <v>524</v>
      </c>
      <c r="V15" s="538" t="b">
        <v>0</v>
      </c>
      <c r="W15" s="221" t="s">
        <v>1000</v>
      </c>
      <c r="X15" s="537" t="b">
        <v>0</v>
      </c>
      <c r="Y15" s="221" t="s">
        <v>998</v>
      </c>
      <c r="Z15" s="227" t="b">
        <v>0</v>
      </c>
      <c r="AA15" s="68"/>
      <c r="AB15" s="921"/>
      <c r="AC15" s="645"/>
      <c r="AD15" s="645"/>
      <c r="AE15" s="646"/>
      <c r="AF15" s="70"/>
      <c r="AG15" s="166"/>
      <c r="AH15" s="69"/>
      <c r="AI15" s="929"/>
      <c r="AJ15" s="930"/>
      <c r="AK15" s="930"/>
      <c r="AL15" s="931"/>
      <c r="AM15" s="70"/>
      <c r="AO15" s="117">
        <f>IF(P15,1,0)</f>
        <v>0</v>
      </c>
      <c r="AP15" s="98">
        <f>IF(R15,1,0)</f>
        <v>0</v>
      </c>
      <c r="AQ15" s="98">
        <f>IF(T15,1,0)</f>
        <v>0</v>
      </c>
      <c r="AR15" s="98">
        <f t="shared" ref="AR15:AR16" si="1">IF(V15,1,0)</f>
        <v>0</v>
      </c>
      <c r="AS15" s="98">
        <f>IF(X15,1,0)</f>
        <v>0</v>
      </c>
      <c r="AT15" s="116">
        <f>IF(Z15,1,0)</f>
        <v>0</v>
      </c>
      <c r="AU15" s="734"/>
    </row>
    <row r="16" spans="2:52" ht="22.5" customHeight="1">
      <c r="B16" s="69"/>
      <c r="C16" s="896"/>
      <c r="D16" s="897"/>
      <c r="E16" s="897"/>
      <c r="F16" s="898"/>
      <c r="G16" s="70"/>
      <c r="H16" s="166"/>
      <c r="I16" s="69"/>
      <c r="J16" s="663"/>
      <c r="K16" s="821"/>
      <c r="L16" s="821"/>
      <c r="M16" s="822"/>
      <c r="N16" s="68"/>
      <c r="O16" s="221" t="s">
        <v>417</v>
      </c>
      <c r="P16" s="537" t="b">
        <v>0</v>
      </c>
      <c r="Q16" s="221" t="s">
        <v>418</v>
      </c>
      <c r="R16" s="537" t="b">
        <v>0</v>
      </c>
      <c r="S16" s="221" t="s">
        <v>419</v>
      </c>
      <c r="T16" s="537" t="b">
        <v>0</v>
      </c>
      <c r="U16" s="536" t="s">
        <v>525</v>
      </c>
      <c r="V16" s="538" t="b">
        <v>0</v>
      </c>
      <c r="W16" s="221" t="s">
        <v>1001</v>
      </c>
      <c r="X16" s="537" t="b">
        <v>0</v>
      </c>
      <c r="Y16" s="221" t="s">
        <v>996</v>
      </c>
      <c r="Z16" s="227" t="b">
        <v>0</v>
      </c>
      <c r="AA16" s="68"/>
      <c r="AB16" s="921"/>
      <c r="AC16" s="645"/>
      <c r="AD16" s="645"/>
      <c r="AE16" s="646"/>
      <c r="AF16" s="70"/>
      <c r="AG16" s="166"/>
      <c r="AH16" s="69"/>
      <c r="AI16" s="929"/>
      <c r="AJ16" s="930"/>
      <c r="AK16" s="930"/>
      <c r="AL16" s="931"/>
      <c r="AM16" s="70"/>
      <c r="AO16" s="106">
        <f>IF(P16,1,0)</f>
        <v>0</v>
      </c>
      <c r="AP16" s="191">
        <f>IF(R16,1,0)</f>
        <v>0</v>
      </c>
      <c r="AQ16" s="191">
        <f>IF(T16,1,0)</f>
        <v>0</v>
      </c>
      <c r="AR16" s="98">
        <f t="shared" si="1"/>
        <v>0</v>
      </c>
      <c r="AS16" s="191">
        <f>IF(X16,1,0)</f>
        <v>0</v>
      </c>
      <c r="AT16" s="107">
        <f>IF(Z16,1,0)</f>
        <v>0</v>
      </c>
      <c r="AU16" s="735"/>
    </row>
    <row r="17" spans="2:47" ht="22.5" customHeight="1">
      <c r="B17" s="69"/>
      <c r="C17" s="899"/>
      <c r="D17" s="900"/>
      <c r="E17" s="900"/>
      <c r="F17" s="901"/>
      <c r="G17" s="70"/>
      <c r="H17" s="166"/>
      <c r="I17" s="69"/>
      <c r="J17" s="664"/>
      <c r="K17" s="824"/>
      <c r="L17" s="824"/>
      <c r="M17" s="825"/>
      <c r="N17" s="68"/>
      <c r="O17" s="221" t="s">
        <v>886</v>
      </c>
      <c r="P17" s="537" t="b">
        <v>0</v>
      </c>
      <c r="Q17" s="221" t="s">
        <v>887</v>
      </c>
      <c r="R17" s="537" t="b">
        <v>0</v>
      </c>
      <c r="S17" s="221" t="s">
        <v>888</v>
      </c>
      <c r="T17" s="537" t="b">
        <v>0</v>
      </c>
      <c r="U17" s="536" t="s">
        <v>889</v>
      </c>
      <c r="V17" s="538" t="b">
        <v>0</v>
      </c>
      <c r="W17" s="221" t="s">
        <v>1002</v>
      </c>
      <c r="X17" s="537" t="b">
        <v>0</v>
      </c>
      <c r="Y17" s="221" t="s">
        <v>997</v>
      </c>
      <c r="Z17" s="227" t="b">
        <v>0</v>
      </c>
      <c r="AA17" s="68"/>
      <c r="AB17" s="922"/>
      <c r="AC17" s="648"/>
      <c r="AD17" s="648"/>
      <c r="AE17" s="649"/>
      <c r="AF17" s="70"/>
      <c r="AG17" s="166"/>
      <c r="AH17" s="69"/>
      <c r="AI17" s="932"/>
      <c r="AJ17" s="933"/>
      <c r="AK17" s="933"/>
      <c r="AL17" s="934"/>
      <c r="AM17" s="70"/>
      <c r="AO17" s="106">
        <f>IF(P17,1,0)</f>
        <v>0</v>
      </c>
      <c r="AP17" s="191">
        <f>IF(R17,1,0)</f>
        <v>0</v>
      </c>
      <c r="AQ17" s="191">
        <f>IF(T17,1,0)</f>
        <v>0</v>
      </c>
      <c r="AR17" s="517">
        <f>IF(V17,1,0)</f>
        <v>0</v>
      </c>
      <c r="AS17" s="191">
        <f>IF(X17,1,0)</f>
        <v>0</v>
      </c>
      <c r="AT17" s="107">
        <f>IF(Z17,1,0)</f>
        <v>0</v>
      </c>
    </row>
    <row r="18" spans="2:47">
      <c r="B18" s="69"/>
      <c r="C18" s="68"/>
      <c r="D18" s="68"/>
      <c r="E18" s="68"/>
      <c r="F18" s="68"/>
      <c r="G18" s="70"/>
      <c r="H18" s="166"/>
      <c r="I18" s="69"/>
      <c r="J18" s="56"/>
      <c r="K18" s="208"/>
      <c r="L18" s="208"/>
      <c r="M18" s="208"/>
      <c r="N18" s="68"/>
      <c r="O18" s="40"/>
      <c r="P18" s="25"/>
      <c r="Q18" s="40"/>
      <c r="R18" s="25"/>
      <c r="S18" s="40"/>
      <c r="T18" s="25"/>
      <c r="U18" s="25"/>
      <c r="V18" s="25"/>
      <c r="W18" s="40"/>
      <c r="X18" s="25"/>
      <c r="Y18" s="40"/>
      <c r="Z18" s="25"/>
      <c r="AA18" s="68"/>
      <c r="AB18" s="68"/>
      <c r="AC18" s="68"/>
      <c r="AD18" s="68"/>
      <c r="AE18" s="68"/>
      <c r="AF18" s="70"/>
      <c r="AG18" s="166"/>
      <c r="AH18" s="69"/>
      <c r="AI18" s="68"/>
      <c r="AJ18" s="68"/>
      <c r="AK18" s="68"/>
      <c r="AL18" s="68"/>
      <c r="AM18" s="70"/>
      <c r="AO18" s="132" t="s">
        <v>316</v>
      </c>
      <c r="AP18" s="133" t="s">
        <v>45</v>
      </c>
      <c r="AQ18" s="133" t="s">
        <v>353</v>
      </c>
      <c r="AR18" s="100"/>
    </row>
    <row r="19" spans="2:47" ht="56.55" customHeight="1">
      <c r="B19" s="69"/>
      <c r="C19" s="869" t="s">
        <v>1135</v>
      </c>
      <c r="D19" s="870"/>
      <c r="E19" s="870"/>
      <c r="F19" s="871"/>
      <c r="G19" s="70"/>
      <c r="H19" s="166"/>
      <c r="I19" s="69"/>
      <c r="J19" s="793">
        <v>1.2</v>
      </c>
      <c r="K19" s="890" t="s">
        <v>1131</v>
      </c>
      <c r="L19" s="890"/>
      <c r="M19" s="890"/>
      <c r="N19" s="233"/>
      <c r="O19" s="843" t="s">
        <v>943</v>
      </c>
      <c r="P19" s="843"/>
      <c r="Q19" s="843"/>
      <c r="R19" s="843"/>
      <c r="S19" s="843"/>
      <c r="T19" s="843"/>
      <c r="U19" s="843"/>
      <c r="V19" s="843"/>
      <c r="W19" s="843"/>
      <c r="X19" s="843"/>
      <c r="Y19" s="843"/>
      <c r="Z19" s="176" t="b">
        <v>0</v>
      </c>
      <c r="AA19" s="226"/>
      <c r="AB19" s="619" t="s">
        <v>60</v>
      </c>
      <c r="AC19" s="619"/>
      <c r="AD19" s="619"/>
      <c r="AE19" s="619"/>
      <c r="AF19" s="71"/>
      <c r="AG19" s="166"/>
      <c r="AH19" s="69"/>
      <c r="AI19" s="902" t="str">
        <f>IF(AO24,Feedback_List!B49,"")</f>
        <v/>
      </c>
      <c r="AJ19" s="903"/>
      <c r="AK19" s="903"/>
      <c r="AL19" s="904"/>
      <c r="AM19" s="70"/>
      <c r="AO19" s="117">
        <f>IF(Z19, 1, 0)</f>
        <v>0</v>
      </c>
      <c r="AP19" s="116">
        <f>IF(AO19,3,0)</f>
        <v>0</v>
      </c>
      <c r="AQ19" s="733">
        <f>(SUM(AP19:AP25)+AU14+AU8)*AZ7</f>
        <v>0</v>
      </c>
      <c r="AR19" s="98"/>
      <c r="AT19" s="114"/>
    </row>
    <row r="20" spans="2:47" ht="56.55" customHeight="1">
      <c r="B20" s="69"/>
      <c r="C20" s="872"/>
      <c r="D20" s="873"/>
      <c r="E20" s="873"/>
      <c r="F20" s="874"/>
      <c r="G20" s="70"/>
      <c r="H20" s="166"/>
      <c r="I20" s="69"/>
      <c r="J20" s="793"/>
      <c r="K20" s="890"/>
      <c r="L20" s="890"/>
      <c r="M20" s="890"/>
      <c r="N20" s="233"/>
      <c r="O20" s="629" t="s">
        <v>421</v>
      </c>
      <c r="P20" s="630"/>
      <c r="Q20" s="630"/>
      <c r="R20" s="630"/>
      <c r="S20" s="630"/>
      <c r="T20" s="630"/>
      <c r="U20" s="630"/>
      <c r="V20" s="630"/>
      <c r="W20" s="630"/>
      <c r="X20" s="630"/>
      <c r="Y20" s="631"/>
      <c r="Z20" s="176" t="b">
        <v>0</v>
      </c>
      <c r="AA20" s="226"/>
      <c r="AB20" s="619"/>
      <c r="AC20" s="619"/>
      <c r="AD20" s="619"/>
      <c r="AE20" s="619"/>
      <c r="AF20" s="71"/>
      <c r="AG20" s="166"/>
      <c r="AH20" s="69"/>
      <c r="AI20" s="905"/>
      <c r="AJ20" s="906"/>
      <c r="AK20" s="906"/>
      <c r="AL20" s="907"/>
      <c r="AM20" s="70"/>
      <c r="AO20" s="117">
        <f t="shared" ref="AO20:AO25" si="2">IF(Z20, 1, 0)</f>
        <v>0</v>
      </c>
      <c r="AP20" s="116">
        <f>IF(AO20,3,0)</f>
        <v>0</v>
      </c>
      <c r="AQ20" s="734"/>
      <c r="AR20" s="98"/>
      <c r="AT20" s="114"/>
      <c r="AU20" s="118"/>
    </row>
    <row r="21" spans="2:47" ht="56.55" customHeight="1">
      <c r="B21" s="69"/>
      <c r="C21" s="872"/>
      <c r="D21" s="873"/>
      <c r="E21" s="873"/>
      <c r="F21" s="874"/>
      <c r="G21" s="70"/>
      <c r="H21" s="166"/>
      <c r="I21" s="69"/>
      <c r="J21" s="793"/>
      <c r="K21" s="890"/>
      <c r="L21" s="890"/>
      <c r="M21" s="890"/>
      <c r="N21" s="233"/>
      <c r="O21" s="843" t="s">
        <v>422</v>
      </c>
      <c r="P21" s="843"/>
      <c r="Q21" s="843"/>
      <c r="R21" s="843"/>
      <c r="S21" s="843"/>
      <c r="T21" s="843"/>
      <c r="U21" s="843"/>
      <c r="V21" s="843"/>
      <c r="W21" s="843"/>
      <c r="X21" s="843"/>
      <c r="Y21" s="843"/>
      <c r="Z21" s="176" t="b">
        <v>0</v>
      </c>
      <c r="AA21" s="226"/>
      <c r="AB21" s="619"/>
      <c r="AC21" s="619"/>
      <c r="AD21" s="619"/>
      <c r="AE21" s="619"/>
      <c r="AF21" s="71"/>
      <c r="AG21" s="166"/>
      <c r="AH21" s="69"/>
      <c r="AI21" s="905"/>
      <c r="AJ21" s="906"/>
      <c r="AK21" s="906"/>
      <c r="AL21" s="907"/>
      <c r="AM21" s="70"/>
      <c r="AO21" s="117">
        <f t="shared" si="2"/>
        <v>0</v>
      </c>
      <c r="AP21" s="116">
        <f>IF(AO21,3,0)</f>
        <v>0</v>
      </c>
      <c r="AQ21" s="734"/>
      <c r="AR21" s="98"/>
      <c r="AU21" s="118"/>
    </row>
    <row r="22" spans="2:47" ht="56.55" customHeight="1">
      <c r="B22" s="72"/>
      <c r="C22" s="872"/>
      <c r="D22" s="873"/>
      <c r="E22" s="873"/>
      <c r="F22" s="874"/>
      <c r="G22" s="71"/>
      <c r="H22" s="166"/>
      <c r="I22" s="69"/>
      <c r="J22" s="793"/>
      <c r="K22" s="890"/>
      <c r="L22" s="890"/>
      <c r="M22" s="890"/>
      <c r="N22" s="233"/>
      <c r="O22" s="843" t="s">
        <v>423</v>
      </c>
      <c r="P22" s="843"/>
      <c r="Q22" s="843"/>
      <c r="R22" s="843"/>
      <c r="S22" s="843"/>
      <c r="T22" s="843"/>
      <c r="U22" s="843"/>
      <c r="V22" s="843"/>
      <c r="W22" s="843"/>
      <c r="X22" s="843"/>
      <c r="Y22" s="843"/>
      <c r="Z22" s="176" t="b">
        <v>0</v>
      </c>
      <c r="AA22" s="226"/>
      <c r="AB22" s="619"/>
      <c r="AC22" s="619"/>
      <c r="AD22" s="619"/>
      <c r="AE22" s="619"/>
      <c r="AF22" s="71"/>
      <c r="AG22" s="166"/>
      <c r="AH22" s="72"/>
      <c r="AI22" s="905"/>
      <c r="AJ22" s="906"/>
      <c r="AK22" s="906"/>
      <c r="AL22" s="907"/>
      <c r="AM22" s="71"/>
      <c r="AO22" s="117">
        <f t="shared" si="2"/>
        <v>0</v>
      </c>
      <c r="AP22" s="116">
        <f>IF(AO22,3,0)</f>
        <v>0</v>
      </c>
      <c r="AQ22" s="734"/>
      <c r="AR22" s="98"/>
      <c r="AU22" s="118"/>
    </row>
    <row r="23" spans="2:47" ht="56.55" customHeight="1">
      <c r="B23" s="72"/>
      <c r="C23" s="872"/>
      <c r="D23" s="873"/>
      <c r="E23" s="873"/>
      <c r="F23" s="874"/>
      <c r="G23" s="71"/>
      <c r="H23" s="166"/>
      <c r="I23" s="69"/>
      <c r="J23" s="793"/>
      <c r="K23" s="890"/>
      <c r="L23" s="890"/>
      <c r="M23" s="890"/>
      <c r="N23" s="233"/>
      <c r="O23" s="843" t="s">
        <v>240</v>
      </c>
      <c r="P23" s="843"/>
      <c r="Q23" s="843"/>
      <c r="R23" s="843"/>
      <c r="S23" s="843"/>
      <c r="T23" s="843"/>
      <c r="U23" s="843"/>
      <c r="V23" s="843"/>
      <c r="W23" s="843"/>
      <c r="X23" s="843"/>
      <c r="Y23" s="843"/>
      <c r="Z23" s="176" t="b">
        <v>0</v>
      </c>
      <c r="AA23" s="226"/>
      <c r="AB23" s="619"/>
      <c r="AC23" s="619"/>
      <c r="AD23" s="619"/>
      <c r="AE23" s="619"/>
      <c r="AF23" s="71"/>
      <c r="AG23" s="166"/>
      <c r="AH23" s="72"/>
      <c r="AI23" s="905"/>
      <c r="AJ23" s="906"/>
      <c r="AK23" s="906"/>
      <c r="AL23" s="907"/>
      <c r="AM23" s="71"/>
      <c r="AO23" s="117">
        <f t="shared" si="2"/>
        <v>0</v>
      </c>
      <c r="AP23" s="116">
        <f>IF(AO23,3,0)</f>
        <v>0</v>
      </c>
      <c r="AQ23" s="734"/>
      <c r="AR23" s="98"/>
    </row>
    <row r="24" spans="2:47" ht="56.55" customHeight="1">
      <c r="B24" s="72"/>
      <c r="C24" s="872"/>
      <c r="D24" s="873"/>
      <c r="E24" s="873"/>
      <c r="F24" s="874"/>
      <c r="G24" s="71"/>
      <c r="H24" s="166"/>
      <c r="I24" s="69"/>
      <c r="J24" s="793"/>
      <c r="K24" s="890"/>
      <c r="L24" s="890"/>
      <c r="M24" s="890"/>
      <c r="N24" s="233"/>
      <c r="O24" s="843" t="s">
        <v>411</v>
      </c>
      <c r="P24" s="843"/>
      <c r="Q24" s="843"/>
      <c r="R24" s="843"/>
      <c r="S24" s="843"/>
      <c r="T24" s="843"/>
      <c r="U24" s="843"/>
      <c r="V24" s="843"/>
      <c r="W24" s="843"/>
      <c r="X24" s="843"/>
      <c r="Y24" s="843"/>
      <c r="Z24" s="176" t="b">
        <v>0</v>
      </c>
      <c r="AA24" s="226"/>
      <c r="AB24" s="619"/>
      <c r="AC24" s="619"/>
      <c r="AD24" s="619"/>
      <c r="AE24" s="619"/>
      <c r="AF24" s="71"/>
      <c r="AG24" s="166"/>
      <c r="AH24" s="72"/>
      <c r="AI24" s="905"/>
      <c r="AJ24" s="906"/>
      <c r="AK24" s="906"/>
      <c r="AL24" s="907"/>
      <c r="AM24" s="71"/>
      <c r="AO24" s="117">
        <f t="shared" si="2"/>
        <v>0</v>
      </c>
      <c r="AP24" s="116"/>
      <c r="AQ24" s="734"/>
      <c r="AR24" s="98"/>
    </row>
    <row r="25" spans="2:47" ht="56.55" customHeight="1">
      <c r="B25" s="72"/>
      <c r="C25" s="875"/>
      <c r="D25" s="876"/>
      <c r="E25" s="876"/>
      <c r="F25" s="877"/>
      <c r="G25" s="71"/>
      <c r="H25" s="166"/>
      <c r="I25" s="73"/>
      <c r="J25" s="793"/>
      <c r="K25" s="890"/>
      <c r="L25" s="890"/>
      <c r="M25" s="890"/>
      <c r="N25" s="233"/>
      <c r="O25" s="843" t="s">
        <v>171</v>
      </c>
      <c r="P25" s="843"/>
      <c r="Q25" s="843"/>
      <c r="R25" s="843"/>
      <c r="S25" s="843"/>
      <c r="T25" s="843"/>
      <c r="U25" s="843"/>
      <c r="V25" s="843"/>
      <c r="W25" s="843"/>
      <c r="X25" s="843"/>
      <c r="Y25" s="843"/>
      <c r="Z25" s="176" t="b">
        <v>0</v>
      </c>
      <c r="AA25" s="8"/>
      <c r="AB25" s="619"/>
      <c r="AC25" s="619"/>
      <c r="AD25" s="619"/>
      <c r="AE25" s="619"/>
      <c r="AF25" s="74"/>
      <c r="AG25" s="166"/>
      <c r="AH25" s="72"/>
      <c r="AI25" s="908"/>
      <c r="AJ25" s="909"/>
      <c r="AK25" s="909"/>
      <c r="AL25" s="910"/>
      <c r="AM25" s="71"/>
      <c r="AO25" s="117">
        <f t="shared" si="2"/>
        <v>0</v>
      </c>
      <c r="AP25" s="116"/>
      <c r="AQ25" s="735"/>
      <c r="AR25" s="98"/>
    </row>
    <row r="26" spans="2:47" ht="18" thickBot="1">
      <c r="B26" s="73"/>
      <c r="C26" s="8"/>
      <c r="D26" s="8"/>
      <c r="E26" s="8"/>
      <c r="F26" s="8"/>
      <c r="G26" s="74"/>
      <c r="H26" s="167"/>
      <c r="I26" s="73"/>
      <c r="J26" s="65"/>
      <c r="K26" s="216"/>
      <c r="L26" s="216"/>
      <c r="M26" s="216"/>
      <c r="N26" s="8"/>
      <c r="O26" s="62"/>
      <c r="P26" s="18"/>
      <c r="Q26" s="62"/>
      <c r="R26" s="18"/>
      <c r="S26" s="62"/>
      <c r="T26" s="18"/>
      <c r="U26" s="18"/>
      <c r="V26" s="18"/>
      <c r="W26" s="62"/>
      <c r="X26" s="18"/>
      <c r="Y26" s="62"/>
      <c r="Z26" s="25"/>
      <c r="AA26" s="8"/>
      <c r="AB26" s="8"/>
      <c r="AC26" s="8"/>
      <c r="AD26" s="8"/>
      <c r="AE26" s="8"/>
      <c r="AF26" s="74"/>
      <c r="AG26" s="167"/>
      <c r="AH26" s="73"/>
      <c r="AI26" s="8"/>
      <c r="AJ26" s="8"/>
      <c r="AK26" s="8"/>
      <c r="AL26" s="8"/>
      <c r="AM26" s="74"/>
      <c r="AO26" s="123">
        <f>SUM(AO19:AO25,AO14:AT16,AO8:AT10)</f>
        <v>0</v>
      </c>
      <c r="AP26" s="123">
        <f>SUM(AP18:AP25)+AU14+AU8</f>
        <v>0</v>
      </c>
      <c r="AQ26" s="123"/>
      <c r="AR26" s="98"/>
    </row>
    <row r="27" spans="2:47" ht="18.45" customHeight="1" thickTop="1">
      <c r="B27" s="73"/>
      <c r="C27" s="8"/>
      <c r="D27" s="8"/>
      <c r="E27" s="8"/>
      <c r="F27" s="8"/>
      <c r="G27" s="74"/>
      <c r="H27" s="167"/>
      <c r="I27" s="73"/>
      <c r="J27" s="28" t="s">
        <v>18</v>
      </c>
      <c r="K27" s="209" t="s">
        <v>632</v>
      </c>
      <c r="L27" s="216"/>
      <c r="M27" s="216"/>
      <c r="N27" s="8"/>
      <c r="O27" s="62"/>
      <c r="P27" s="18"/>
      <c r="Q27" s="62"/>
      <c r="R27" s="18"/>
      <c r="S27" s="62"/>
      <c r="T27" s="18"/>
      <c r="U27" s="18"/>
      <c r="V27" s="18"/>
      <c r="W27" s="62"/>
      <c r="X27" s="18"/>
      <c r="Y27" s="62"/>
      <c r="Z27" s="25"/>
      <c r="AA27" s="8"/>
      <c r="AB27" s="8"/>
      <c r="AC27" s="8"/>
      <c r="AD27" s="8"/>
      <c r="AE27" s="8"/>
      <c r="AF27" s="74"/>
      <c r="AG27" s="167"/>
      <c r="AH27" s="73"/>
      <c r="AI27" s="911" t="str" cm="1">
        <f t="array" ref="AI27">IF(OR(AO29:AO33),
    IF(AO33, Feedback_List!B51,
        IF(AND(AO29, AO30, AO31, AO32), "",
            _xlfn.TEXTJOIN(CHAR(10), TRUE,
                AT29,
                _xlfn._xlws.FILTER(AU29:AU32, NOT(AO29:AO32)))
        )
    ),
    "")</f>
        <v/>
      </c>
      <c r="AJ27" s="912"/>
      <c r="AK27" s="912"/>
      <c r="AL27" s="913"/>
      <c r="AM27" s="74"/>
      <c r="AN27" s="189"/>
      <c r="AO27" s="98"/>
      <c r="AP27" s="190"/>
      <c r="AQ27" s="111"/>
      <c r="AR27" s="111"/>
    </row>
    <row r="28" spans="2:47">
      <c r="B28" s="73"/>
      <c r="C28" s="8"/>
      <c r="D28" s="8"/>
      <c r="E28" s="8"/>
      <c r="F28" s="8"/>
      <c r="G28" s="74"/>
      <c r="H28" s="167"/>
      <c r="I28" s="73"/>
      <c r="J28" s="65"/>
      <c r="K28" s="216"/>
      <c r="L28" s="216"/>
      <c r="M28" s="216"/>
      <c r="N28" s="8"/>
      <c r="O28" s="62"/>
      <c r="P28" s="18"/>
      <c r="Q28" s="62"/>
      <c r="R28" s="18"/>
      <c r="S28" s="62"/>
      <c r="T28" s="18"/>
      <c r="U28" s="18"/>
      <c r="V28" s="18"/>
      <c r="W28" s="62"/>
      <c r="X28" s="18"/>
      <c r="Y28" s="62"/>
      <c r="Z28" s="25"/>
      <c r="AA28" s="8"/>
      <c r="AB28" s="8"/>
      <c r="AC28" s="8"/>
      <c r="AD28" s="8"/>
      <c r="AE28" s="8"/>
      <c r="AF28" s="74"/>
      <c r="AG28" s="167"/>
      <c r="AH28" s="73"/>
      <c r="AI28" s="914"/>
      <c r="AJ28" s="915"/>
      <c r="AK28" s="915"/>
      <c r="AL28" s="916"/>
      <c r="AM28" s="74"/>
      <c r="AN28" s="189"/>
      <c r="AO28" s="98"/>
      <c r="AP28" s="191"/>
      <c r="AQ28" s="111"/>
      <c r="AR28" s="111"/>
    </row>
    <row r="29" spans="2:47" ht="71.55" customHeight="1">
      <c r="B29" s="69"/>
      <c r="C29" s="878" t="s">
        <v>1132</v>
      </c>
      <c r="D29" s="879"/>
      <c r="E29" s="879"/>
      <c r="F29" s="880"/>
      <c r="G29" s="70"/>
      <c r="H29" s="167"/>
      <c r="I29" s="73"/>
      <c r="J29" s="793">
        <v>2.1</v>
      </c>
      <c r="K29" s="890" t="s">
        <v>345</v>
      </c>
      <c r="L29" s="890"/>
      <c r="M29" s="890"/>
      <c r="N29" s="8"/>
      <c r="O29" s="843" t="s">
        <v>246</v>
      </c>
      <c r="P29" s="843"/>
      <c r="Q29" s="843"/>
      <c r="R29" s="843"/>
      <c r="S29" s="843"/>
      <c r="T29" s="843"/>
      <c r="U29" s="843"/>
      <c r="V29" s="843"/>
      <c r="W29" s="843"/>
      <c r="X29" s="843"/>
      <c r="Y29" s="843"/>
      <c r="Z29" s="176" t="b">
        <v>0</v>
      </c>
      <c r="AA29" s="8"/>
      <c r="AB29" s="619" t="s">
        <v>60</v>
      </c>
      <c r="AC29" s="619"/>
      <c r="AD29" s="619"/>
      <c r="AE29" s="619"/>
      <c r="AF29" s="74"/>
      <c r="AG29" s="167"/>
      <c r="AH29" s="69"/>
      <c r="AI29" s="914"/>
      <c r="AJ29" s="915"/>
      <c r="AK29" s="915"/>
      <c r="AL29" s="916"/>
      <c r="AM29" s="70"/>
      <c r="AO29" s="177">
        <f t="shared" ref="AO29:AO33" si="3">IF(Z29, 1, 0)</f>
        <v>0</v>
      </c>
      <c r="AP29" s="178">
        <f>IF(AO29,2,0)</f>
        <v>0</v>
      </c>
      <c r="AQ29" s="733">
        <f>SUM(AO29:AO34)*AZ8</f>
        <v>0</v>
      </c>
      <c r="AR29" s="98"/>
      <c r="AT29" s="114" t="s">
        <v>574</v>
      </c>
      <c r="AU29" s="118" t="s">
        <v>575</v>
      </c>
    </row>
    <row r="30" spans="2:47" ht="71.55" customHeight="1">
      <c r="B30" s="69"/>
      <c r="C30" s="881"/>
      <c r="D30" s="882"/>
      <c r="E30" s="882"/>
      <c r="F30" s="883"/>
      <c r="G30" s="70"/>
      <c r="H30" s="167"/>
      <c r="I30" s="73"/>
      <c r="J30" s="793"/>
      <c r="K30" s="890"/>
      <c r="L30" s="890"/>
      <c r="M30" s="890"/>
      <c r="N30" s="8"/>
      <c r="O30" s="629" t="s">
        <v>247</v>
      </c>
      <c r="P30" s="630"/>
      <c r="Q30" s="630"/>
      <c r="R30" s="630"/>
      <c r="S30" s="630"/>
      <c r="T30" s="630"/>
      <c r="U30" s="630"/>
      <c r="V30" s="630"/>
      <c r="W30" s="630"/>
      <c r="X30" s="630"/>
      <c r="Y30" s="631"/>
      <c r="Z30" s="176" t="b">
        <v>0</v>
      </c>
      <c r="AA30" s="8"/>
      <c r="AB30" s="619"/>
      <c r="AC30" s="619"/>
      <c r="AD30" s="619"/>
      <c r="AE30" s="619"/>
      <c r="AF30" s="74"/>
      <c r="AG30" s="167"/>
      <c r="AH30" s="69"/>
      <c r="AI30" s="914"/>
      <c r="AJ30" s="915"/>
      <c r="AK30" s="915"/>
      <c r="AL30" s="916"/>
      <c r="AM30" s="70"/>
      <c r="AO30" s="117">
        <f t="shared" si="3"/>
        <v>0</v>
      </c>
      <c r="AP30" s="116">
        <f>IF(AO30,2,0)</f>
        <v>0</v>
      </c>
      <c r="AQ30" s="734"/>
      <c r="AR30" s="98"/>
      <c r="AU30" s="118" t="s">
        <v>576</v>
      </c>
    </row>
    <row r="31" spans="2:47" ht="71.55" customHeight="1">
      <c r="B31" s="72"/>
      <c r="C31" s="881"/>
      <c r="D31" s="882"/>
      <c r="E31" s="882"/>
      <c r="F31" s="883"/>
      <c r="G31" s="71"/>
      <c r="H31" s="167"/>
      <c r="I31" s="73"/>
      <c r="J31" s="793"/>
      <c r="K31" s="890"/>
      <c r="L31" s="890"/>
      <c r="M31" s="890"/>
      <c r="N31" s="8"/>
      <c r="O31" s="843" t="s">
        <v>248</v>
      </c>
      <c r="P31" s="843"/>
      <c r="Q31" s="843"/>
      <c r="R31" s="843"/>
      <c r="S31" s="843"/>
      <c r="T31" s="843"/>
      <c r="U31" s="843"/>
      <c r="V31" s="843"/>
      <c r="W31" s="843"/>
      <c r="X31" s="843"/>
      <c r="Y31" s="843"/>
      <c r="Z31" s="176" t="b">
        <v>0</v>
      </c>
      <c r="AA31" s="8"/>
      <c r="AB31" s="619"/>
      <c r="AC31" s="619"/>
      <c r="AD31" s="619"/>
      <c r="AE31" s="619"/>
      <c r="AF31" s="74"/>
      <c r="AG31" s="167"/>
      <c r="AH31" s="72"/>
      <c r="AI31" s="914"/>
      <c r="AJ31" s="915"/>
      <c r="AK31" s="915"/>
      <c r="AL31" s="916"/>
      <c r="AM31" s="71"/>
      <c r="AO31" s="117">
        <f t="shared" si="3"/>
        <v>0</v>
      </c>
      <c r="AP31" s="116">
        <f>IF(AO31,2,0)</f>
        <v>0</v>
      </c>
      <c r="AQ31" s="734"/>
      <c r="AR31" s="98"/>
      <c r="AU31" s="118" t="s">
        <v>577</v>
      </c>
    </row>
    <row r="32" spans="2:47" ht="71.55" customHeight="1">
      <c r="B32" s="72"/>
      <c r="C32" s="881"/>
      <c r="D32" s="882"/>
      <c r="E32" s="882"/>
      <c r="F32" s="883"/>
      <c r="G32" s="71"/>
      <c r="H32" s="167"/>
      <c r="I32" s="73"/>
      <c r="J32" s="793"/>
      <c r="K32" s="890"/>
      <c r="L32" s="890"/>
      <c r="M32" s="890"/>
      <c r="N32" s="8"/>
      <c r="O32" s="843" t="s">
        <v>428</v>
      </c>
      <c r="P32" s="843"/>
      <c r="Q32" s="843"/>
      <c r="R32" s="843"/>
      <c r="S32" s="843"/>
      <c r="T32" s="843"/>
      <c r="U32" s="843"/>
      <c r="V32" s="843"/>
      <c r="W32" s="843"/>
      <c r="X32" s="843"/>
      <c r="Y32" s="843"/>
      <c r="Z32" s="176" t="b">
        <v>0</v>
      </c>
      <c r="AA32" s="8"/>
      <c r="AB32" s="619"/>
      <c r="AC32" s="619"/>
      <c r="AD32" s="619"/>
      <c r="AE32" s="619"/>
      <c r="AF32" s="74"/>
      <c r="AG32" s="167"/>
      <c r="AH32" s="72"/>
      <c r="AI32" s="914"/>
      <c r="AJ32" s="915"/>
      <c r="AK32" s="915"/>
      <c r="AL32" s="916"/>
      <c r="AM32" s="71"/>
      <c r="AO32" s="117">
        <f t="shared" si="3"/>
        <v>0</v>
      </c>
      <c r="AP32" s="116">
        <f>IF(AO32,2,0)</f>
        <v>0</v>
      </c>
      <c r="AQ32" s="734"/>
      <c r="AR32" s="98"/>
      <c r="AU32" s="118" t="s">
        <v>1072</v>
      </c>
    </row>
    <row r="33" spans="2:47" ht="71.55" customHeight="1">
      <c r="B33" s="72"/>
      <c r="C33" s="881"/>
      <c r="D33" s="882"/>
      <c r="E33" s="882"/>
      <c r="F33" s="883"/>
      <c r="G33" s="71"/>
      <c r="H33" s="167"/>
      <c r="I33" s="73"/>
      <c r="J33" s="793"/>
      <c r="K33" s="890"/>
      <c r="L33" s="890"/>
      <c r="M33" s="890"/>
      <c r="N33" s="8"/>
      <c r="O33" s="629" t="s">
        <v>463</v>
      </c>
      <c r="P33" s="630"/>
      <c r="Q33" s="630"/>
      <c r="R33" s="630"/>
      <c r="S33" s="630"/>
      <c r="T33" s="630"/>
      <c r="U33" s="630"/>
      <c r="V33" s="630"/>
      <c r="W33" s="630"/>
      <c r="X33" s="630"/>
      <c r="Y33" s="631"/>
      <c r="Z33" s="176" t="b">
        <v>0</v>
      </c>
      <c r="AA33" s="8"/>
      <c r="AB33" s="619"/>
      <c r="AC33" s="619"/>
      <c r="AD33" s="619"/>
      <c r="AE33" s="619"/>
      <c r="AF33" s="74"/>
      <c r="AG33" s="167"/>
      <c r="AH33" s="72"/>
      <c r="AI33" s="914"/>
      <c r="AJ33" s="915"/>
      <c r="AK33" s="915"/>
      <c r="AL33" s="916"/>
      <c r="AM33" s="71"/>
      <c r="AO33" s="117">
        <f t="shared" si="3"/>
        <v>0</v>
      </c>
      <c r="AP33" s="116"/>
      <c r="AQ33" s="734"/>
      <c r="AR33" s="98"/>
      <c r="AU33" s="118"/>
    </row>
    <row r="34" spans="2:47" ht="71.55" customHeight="1">
      <c r="B34" s="72"/>
      <c r="C34" s="884"/>
      <c r="D34" s="885"/>
      <c r="E34" s="885"/>
      <c r="F34" s="886"/>
      <c r="G34" s="71"/>
      <c r="H34" s="167"/>
      <c r="I34" s="73"/>
      <c r="J34" s="793"/>
      <c r="K34" s="890"/>
      <c r="L34" s="890"/>
      <c r="M34" s="890"/>
      <c r="N34" s="8"/>
      <c r="O34" s="843" t="s">
        <v>171</v>
      </c>
      <c r="P34" s="843"/>
      <c r="Q34" s="843"/>
      <c r="R34" s="843"/>
      <c r="S34" s="843"/>
      <c r="T34" s="843"/>
      <c r="U34" s="843"/>
      <c r="V34" s="843"/>
      <c r="W34" s="843"/>
      <c r="X34" s="843"/>
      <c r="Y34" s="843"/>
      <c r="Z34" s="176" t="b">
        <v>0</v>
      </c>
      <c r="AA34" s="8"/>
      <c r="AB34" s="619"/>
      <c r="AC34" s="619"/>
      <c r="AD34" s="619"/>
      <c r="AE34" s="619"/>
      <c r="AF34" s="74"/>
      <c r="AG34" s="167"/>
      <c r="AH34" s="72"/>
      <c r="AI34" s="914"/>
      <c r="AJ34" s="915"/>
      <c r="AK34" s="915"/>
      <c r="AL34" s="916"/>
      <c r="AM34" s="71"/>
      <c r="AO34" s="117"/>
      <c r="AP34" s="116"/>
      <c r="AQ34" s="735"/>
      <c r="AR34" s="98"/>
    </row>
    <row r="35" spans="2:47" ht="18" thickBot="1">
      <c r="B35" s="72"/>
      <c r="C35" s="245"/>
      <c r="D35" s="245"/>
      <c r="E35" s="245"/>
      <c r="F35" s="245"/>
      <c r="G35" s="71"/>
      <c r="H35" s="167"/>
      <c r="I35" s="73"/>
      <c r="J35" s="57"/>
      <c r="K35" s="210"/>
      <c r="L35" s="210"/>
      <c r="M35" s="210"/>
      <c r="N35" s="8"/>
      <c r="O35" s="62"/>
      <c r="P35" s="18"/>
      <c r="Q35" s="62"/>
      <c r="R35" s="18"/>
      <c r="S35" s="62"/>
      <c r="T35" s="18"/>
      <c r="U35" s="18"/>
      <c r="V35" s="18"/>
      <c r="W35" s="62"/>
      <c r="X35" s="18"/>
      <c r="Y35" s="62"/>
      <c r="Z35" s="25"/>
      <c r="AA35" s="8"/>
      <c r="AB35" s="244"/>
      <c r="AC35" s="244"/>
      <c r="AD35" s="244"/>
      <c r="AE35" s="244"/>
      <c r="AF35" s="74"/>
      <c r="AG35" s="167"/>
      <c r="AH35" s="72"/>
      <c r="AI35" s="917"/>
      <c r="AJ35" s="918"/>
      <c r="AK35" s="918"/>
      <c r="AL35" s="919"/>
      <c r="AM35" s="71"/>
      <c r="AO35" s="123">
        <f>SUM(AO29:AO34)</f>
        <v>0</v>
      </c>
      <c r="AP35" s="123">
        <f>SUM(AP29:AP34)</f>
        <v>0</v>
      </c>
      <c r="AQ35" s="123"/>
      <c r="AR35" s="98"/>
    </row>
    <row r="36" spans="2:47" ht="18" thickTop="1">
      <c r="B36" s="72"/>
      <c r="C36" s="273"/>
      <c r="D36" s="273"/>
      <c r="E36" s="273"/>
      <c r="F36" s="273"/>
      <c r="G36" s="71"/>
      <c r="H36" s="167"/>
      <c r="I36" s="73"/>
      <c r="J36" s="28" t="s">
        <v>29</v>
      </c>
      <c r="K36" s="209" t="s">
        <v>633</v>
      </c>
      <c r="L36" s="210"/>
      <c r="M36" s="210"/>
      <c r="N36" s="8"/>
      <c r="O36" s="62"/>
      <c r="P36" s="18"/>
      <c r="Q36" s="62"/>
      <c r="R36" s="18"/>
      <c r="S36" s="62"/>
      <c r="T36" s="18"/>
      <c r="U36" s="18"/>
      <c r="V36" s="18"/>
      <c r="W36" s="62"/>
      <c r="X36" s="18"/>
      <c r="Y36" s="62"/>
      <c r="Z36" s="25"/>
      <c r="AA36" s="8"/>
      <c r="AB36" s="244"/>
      <c r="AC36" s="244"/>
      <c r="AD36" s="244"/>
      <c r="AE36" s="244"/>
      <c r="AF36" s="74"/>
      <c r="AG36" s="167"/>
      <c r="AH36" s="72"/>
      <c r="AI36" s="226"/>
      <c r="AJ36" s="226"/>
      <c r="AK36" s="226"/>
      <c r="AL36" s="226"/>
      <c r="AM36" s="71"/>
      <c r="AN36" s="189"/>
      <c r="AO36" s="98"/>
      <c r="AP36" s="190"/>
      <c r="AQ36" s="111"/>
      <c r="AR36" s="111"/>
    </row>
    <row r="37" spans="2:47">
      <c r="B37" s="72"/>
      <c r="C37" s="273"/>
      <c r="D37" s="273"/>
      <c r="E37" s="273"/>
      <c r="F37" s="273"/>
      <c r="G37" s="71"/>
      <c r="H37" s="167"/>
      <c r="I37" s="73"/>
      <c r="J37" s="28"/>
      <c r="K37" s="209"/>
      <c r="L37" s="210"/>
      <c r="M37" s="210"/>
      <c r="N37" s="8"/>
      <c r="O37" s="62"/>
      <c r="P37" s="18"/>
      <c r="Q37" s="62"/>
      <c r="R37" s="18"/>
      <c r="S37" s="62"/>
      <c r="T37" s="18"/>
      <c r="U37" s="18"/>
      <c r="V37" s="18"/>
      <c r="W37" s="62"/>
      <c r="X37" s="18"/>
      <c r="Y37" s="62"/>
      <c r="Z37" s="25"/>
      <c r="AA37" s="8"/>
      <c r="AB37" s="244"/>
      <c r="AC37" s="244"/>
      <c r="AD37" s="244"/>
      <c r="AE37" s="244"/>
      <c r="AF37" s="74"/>
      <c r="AG37" s="167"/>
      <c r="AH37" s="72"/>
      <c r="AI37" s="926"/>
      <c r="AJ37" s="927"/>
      <c r="AK37" s="927"/>
      <c r="AL37" s="928"/>
      <c r="AM37" s="71"/>
      <c r="AN37" s="189"/>
      <c r="AO37" s="98"/>
      <c r="AP37" s="98"/>
      <c r="AQ37" s="111"/>
      <c r="AR37" s="111"/>
    </row>
    <row r="38" spans="2:47" ht="34.5" customHeight="1">
      <c r="B38" s="72"/>
      <c r="C38" s="869" t="s">
        <v>1137</v>
      </c>
      <c r="D38" s="870"/>
      <c r="E38" s="870"/>
      <c r="F38" s="871"/>
      <c r="G38" s="71"/>
      <c r="H38" s="167"/>
      <c r="I38" s="73"/>
      <c r="J38" s="662">
        <v>3.1</v>
      </c>
      <c r="K38" s="710" t="s">
        <v>1095</v>
      </c>
      <c r="L38" s="711"/>
      <c r="M38" s="712"/>
      <c r="N38" s="8"/>
      <c r="O38" s="843" t="s">
        <v>991</v>
      </c>
      <c r="P38" s="843"/>
      <c r="Q38" s="843"/>
      <c r="R38" s="843"/>
      <c r="S38" s="843"/>
      <c r="T38" s="843"/>
      <c r="U38" s="843"/>
      <c r="V38" s="843"/>
      <c r="W38" s="843"/>
      <c r="X38" s="843"/>
      <c r="Y38" s="843"/>
      <c r="Z38" s="176" t="b">
        <v>0</v>
      </c>
      <c r="AA38" s="8"/>
      <c r="AB38" s="920" t="s">
        <v>60</v>
      </c>
      <c r="AC38" s="624"/>
      <c r="AD38" s="624"/>
      <c r="AE38" s="625"/>
      <c r="AF38" s="74"/>
      <c r="AG38" s="167"/>
      <c r="AH38" s="72"/>
      <c r="AI38" s="929"/>
      <c r="AJ38" s="930"/>
      <c r="AK38" s="930"/>
      <c r="AL38" s="931"/>
      <c r="AM38" s="71"/>
      <c r="AN38" s="189"/>
      <c r="AO38" s="177">
        <f t="shared" ref="AO38:AO39" si="4">IF(Z38, 1, 0)</f>
        <v>0</v>
      </c>
      <c r="AP38" s="250">
        <f>IF(AO38,5,IF(AO39,3,IF(AO40,2,IF(AO41,0,0))))</f>
        <v>0</v>
      </c>
      <c r="AQ38" s="733">
        <f>SUM(AP38:AP55)*AZ9</f>
        <v>0</v>
      </c>
      <c r="AR38" s="111"/>
    </row>
    <row r="39" spans="2:47" ht="34.5" customHeight="1">
      <c r="B39" s="72"/>
      <c r="C39" s="872"/>
      <c r="D39" s="873"/>
      <c r="E39" s="873"/>
      <c r="F39" s="874"/>
      <c r="G39" s="71"/>
      <c r="H39" s="167"/>
      <c r="I39" s="73"/>
      <c r="J39" s="663"/>
      <c r="K39" s="713"/>
      <c r="L39" s="714"/>
      <c r="M39" s="715"/>
      <c r="N39" s="8"/>
      <c r="O39" s="843" t="s">
        <v>992</v>
      </c>
      <c r="P39" s="843"/>
      <c r="Q39" s="843"/>
      <c r="R39" s="843"/>
      <c r="S39" s="843"/>
      <c r="T39" s="843"/>
      <c r="U39" s="843"/>
      <c r="V39" s="843"/>
      <c r="W39" s="843"/>
      <c r="X39" s="843"/>
      <c r="Y39" s="843"/>
      <c r="Z39" s="176" t="b">
        <v>0</v>
      </c>
      <c r="AA39" s="8"/>
      <c r="AB39" s="921"/>
      <c r="AC39" s="645"/>
      <c r="AD39" s="645"/>
      <c r="AE39" s="646"/>
      <c r="AF39" s="74"/>
      <c r="AG39" s="167"/>
      <c r="AH39" s="72"/>
      <c r="AI39" s="929"/>
      <c r="AJ39" s="930"/>
      <c r="AK39" s="930"/>
      <c r="AL39" s="931"/>
      <c r="AM39" s="71"/>
      <c r="AN39" s="189"/>
      <c r="AO39" s="117">
        <f t="shared" si="4"/>
        <v>0</v>
      </c>
      <c r="AP39" s="98"/>
      <c r="AQ39" s="734"/>
      <c r="AR39" s="111"/>
    </row>
    <row r="40" spans="2:47" ht="34.5" customHeight="1">
      <c r="B40" s="72"/>
      <c r="C40" s="872"/>
      <c r="D40" s="873"/>
      <c r="E40" s="873"/>
      <c r="F40" s="874"/>
      <c r="G40" s="71"/>
      <c r="H40" s="167"/>
      <c r="I40" s="73"/>
      <c r="J40" s="663"/>
      <c r="K40" s="713"/>
      <c r="L40" s="714"/>
      <c r="M40" s="715"/>
      <c r="N40" s="8"/>
      <c r="O40" s="843" t="s">
        <v>993</v>
      </c>
      <c r="P40" s="843"/>
      <c r="Q40" s="843"/>
      <c r="R40" s="843"/>
      <c r="S40" s="843"/>
      <c r="T40" s="843"/>
      <c r="U40" s="843"/>
      <c r="V40" s="843"/>
      <c r="W40" s="843"/>
      <c r="X40" s="843"/>
      <c r="Y40" s="843"/>
      <c r="Z40" s="176" t="b">
        <v>0</v>
      </c>
      <c r="AA40" s="8"/>
      <c r="AB40" s="921"/>
      <c r="AC40" s="645"/>
      <c r="AD40" s="645"/>
      <c r="AE40" s="646"/>
      <c r="AF40" s="74"/>
      <c r="AG40" s="167"/>
      <c r="AH40" s="72"/>
      <c r="AI40" s="932"/>
      <c r="AJ40" s="933"/>
      <c r="AK40" s="933"/>
      <c r="AL40" s="934"/>
      <c r="AM40" s="71"/>
      <c r="AN40" s="189"/>
      <c r="AO40" s="117">
        <f>IF(Z40, 1, 0)</f>
        <v>0</v>
      </c>
      <c r="AP40" s="98"/>
      <c r="AQ40" s="734"/>
      <c r="AR40" s="111"/>
    </row>
    <row r="41" spans="2:47" ht="34.5" customHeight="1">
      <c r="B41" s="72"/>
      <c r="C41" s="872"/>
      <c r="D41" s="873"/>
      <c r="E41" s="873"/>
      <c r="F41" s="874"/>
      <c r="G41" s="71"/>
      <c r="H41" s="167"/>
      <c r="I41" s="73"/>
      <c r="J41" s="664"/>
      <c r="K41" s="716"/>
      <c r="L41" s="717"/>
      <c r="M41" s="718"/>
      <c r="N41" s="8"/>
      <c r="O41" s="843" t="s">
        <v>944</v>
      </c>
      <c r="P41" s="843"/>
      <c r="Q41" s="843"/>
      <c r="R41" s="843"/>
      <c r="S41" s="843"/>
      <c r="T41" s="843"/>
      <c r="U41" s="843"/>
      <c r="V41" s="843"/>
      <c r="W41" s="843"/>
      <c r="X41" s="843"/>
      <c r="Y41" s="843"/>
      <c r="Z41" s="176" t="b">
        <v>0</v>
      </c>
      <c r="AA41" s="8"/>
      <c r="AB41" s="922"/>
      <c r="AC41" s="648"/>
      <c r="AD41" s="648"/>
      <c r="AE41" s="649"/>
      <c r="AF41" s="74"/>
      <c r="AG41" s="167"/>
      <c r="AH41" s="72"/>
      <c r="AI41" s="226"/>
      <c r="AJ41" s="226"/>
      <c r="AK41" s="226"/>
      <c r="AL41" s="226"/>
      <c r="AM41" s="71"/>
      <c r="AN41" s="189"/>
      <c r="AO41" s="117">
        <f>IF(Z41, 1, 0)</f>
        <v>0</v>
      </c>
      <c r="AP41" s="98"/>
      <c r="AQ41" s="734"/>
      <c r="AR41" s="111"/>
    </row>
    <row r="42" spans="2:47">
      <c r="B42" s="73"/>
      <c r="C42" s="872"/>
      <c r="D42" s="873"/>
      <c r="E42" s="873"/>
      <c r="F42" s="874"/>
      <c r="G42" s="74"/>
      <c r="H42" s="167"/>
      <c r="I42" s="73"/>
      <c r="J42" s="65"/>
      <c r="K42" s="216"/>
      <c r="L42" s="216"/>
      <c r="M42" s="216"/>
      <c r="N42" s="8"/>
      <c r="O42" s="62"/>
      <c r="P42" s="18"/>
      <c r="Q42" s="62"/>
      <c r="R42" s="18"/>
      <c r="S42" s="62"/>
      <c r="T42" s="18"/>
      <c r="U42" s="18"/>
      <c r="V42" s="18"/>
      <c r="W42" s="62"/>
      <c r="X42" s="18"/>
      <c r="Y42" s="62"/>
      <c r="Z42" s="25"/>
      <c r="AA42" s="8"/>
      <c r="AB42" s="8"/>
      <c r="AC42" s="8"/>
      <c r="AD42" s="8"/>
      <c r="AE42" s="8"/>
      <c r="AF42" s="74"/>
      <c r="AG42" s="167"/>
      <c r="AH42" s="73"/>
      <c r="AI42" s="911" t="str">
        <f>IF(OR(Z49,Z50),Feedback_List!B53, " ")</f>
        <v xml:space="preserve"> </v>
      </c>
      <c r="AJ42" s="912"/>
      <c r="AK42" s="912"/>
      <c r="AL42" s="913"/>
      <c r="AM42" s="74"/>
      <c r="AN42" s="189"/>
      <c r="AO42" s="117"/>
      <c r="AP42" s="98"/>
      <c r="AQ42" s="734"/>
      <c r="AR42" s="111"/>
    </row>
    <row r="43" spans="2:47" ht="27.45" customHeight="1">
      <c r="B43" s="69"/>
      <c r="C43" s="872"/>
      <c r="D43" s="873"/>
      <c r="E43" s="873"/>
      <c r="F43" s="874"/>
      <c r="G43" s="70"/>
      <c r="H43" s="167"/>
      <c r="I43" s="73"/>
      <c r="J43" s="662">
        <v>3.2</v>
      </c>
      <c r="K43" s="710" t="s">
        <v>346</v>
      </c>
      <c r="L43" s="711"/>
      <c r="M43" s="712"/>
      <c r="N43" s="8"/>
      <c r="O43" s="629" t="s">
        <v>348</v>
      </c>
      <c r="P43" s="630"/>
      <c r="Q43" s="630"/>
      <c r="R43" s="630"/>
      <c r="S43" s="630"/>
      <c r="T43" s="630"/>
      <c r="U43" s="630"/>
      <c r="V43" s="630"/>
      <c r="W43" s="630"/>
      <c r="X43" s="630"/>
      <c r="Y43" s="631"/>
      <c r="Z43" s="176" t="b">
        <v>0</v>
      </c>
      <c r="AA43" s="8"/>
      <c r="AB43" s="920" t="s">
        <v>60</v>
      </c>
      <c r="AC43" s="624"/>
      <c r="AD43" s="624"/>
      <c r="AE43" s="625"/>
      <c r="AF43" s="74"/>
      <c r="AG43" s="167"/>
      <c r="AH43" s="69"/>
      <c r="AI43" s="914"/>
      <c r="AJ43" s="915"/>
      <c r="AK43" s="915"/>
      <c r="AL43" s="916"/>
      <c r="AM43" s="70"/>
      <c r="AO43" s="117">
        <f t="shared" ref="AO43:AO54" si="5">IF(Z43, 1, 0)</f>
        <v>0</v>
      </c>
      <c r="AP43" s="98">
        <f t="shared" ref="AP43:AP48" si="6">IF(AO43,2,0)</f>
        <v>0</v>
      </c>
      <c r="AQ43" s="734"/>
      <c r="AR43" s="98"/>
    </row>
    <row r="44" spans="2:47" ht="27.45" customHeight="1">
      <c r="B44" s="69"/>
      <c r="C44" s="872"/>
      <c r="D44" s="873"/>
      <c r="E44" s="873"/>
      <c r="F44" s="874"/>
      <c r="G44" s="70"/>
      <c r="H44" s="167"/>
      <c r="I44" s="73"/>
      <c r="J44" s="663"/>
      <c r="K44" s="713"/>
      <c r="L44" s="714"/>
      <c r="M44" s="715"/>
      <c r="N44" s="8"/>
      <c r="O44" s="629" t="s">
        <v>426</v>
      </c>
      <c r="P44" s="630"/>
      <c r="Q44" s="630"/>
      <c r="R44" s="630"/>
      <c r="S44" s="630"/>
      <c r="T44" s="630"/>
      <c r="U44" s="630"/>
      <c r="V44" s="630"/>
      <c r="W44" s="630"/>
      <c r="X44" s="630"/>
      <c r="Y44" s="631"/>
      <c r="Z44" s="176" t="b">
        <v>0</v>
      </c>
      <c r="AA44" s="8"/>
      <c r="AB44" s="921"/>
      <c r="AC44" s="645"/>
      <c r="AD44" s="645"/>
      <c r="AE44" s="646"/>
      <c r="AF44" s="74"/>
      <c r="AG44" s="167"/>
      <c r="AH44" s="69"/>
      <c r="AI44" s="914"/>
      <c r="AJ44" s="915"/>
      <c r="AK44" s="915"/>
      <c r="AL44" s="916"/>
      <c r="AM44" s="70"/>
      <c r="AO44" s="117">
        <f t="shared" si="5"/>
        <v>0</v>
      </c>
      <c r="AP44" s="98">
        <f t="shared" si="6"/>
        <v>0</v>
      </c>
      <c r="AQ44" s="734"/>
      <c r="AR44" s="98"/>
    </row>
    <row r="45" spans="2:47" ht="27.45" customHeight="1">
      <c r="B45" s="69"/>
      <c r="C45" s="872"/>
      <c r="D45" s="873"/>
      <c r="E45" s="873"/>
      <c r="F45" s="874"/>
      <c r="G45" s="70"/>
      <c r="H45" s="167"/>
      <c r="I45" s="73"/>
      <c r="J45" s="663"/>
      <c r="K45" s="713"/>
      <c r="L45" s="714"/>
      <c r="M45" s="715"/>
      <c r="N45" s="8"/>
      <c r="O45" s="629" t="s">
        <v>349</v>
      </c>
      <c r="P45" s="630"/>
      <c r="Q45" s="630"/>
      <c r="R45" s="630"/>
      <c r="S45" s="630"/>
      <c r="T45" s="630"/>
      <c r="U45" s="630"/>
      <c r="V45" s="630"/>
      <c r="W45" s="630"/>
      <c r="X45" s="630"/>
      <c r="Y45" s="631"/>
      <c r="Z45" s="176" t="b">
        <v>0</v>
      </c>
      <c r="AA45" s="8"/>
      <c r="AB45" s="921"/>
      <c r="AC45" s="645"/>
      <c r="AD45" s="645"/>
      <c r="AE45" s="646"/>
      <c r="AF45" s="74"/>
      <c r="AG45" s="167"/>
      <c r="AH45" s="69"/>
      <c r="AI45" s="914"/>
      <c r="AJ45" s="915"/>
      <c r="AK45" s="915"/>
      <c r="AL45" s="916"/>
      <c r="AM45" s="70"/>
      <c r="AO45" s="117">
        <f t="shared" si="5"/>
        <v>0</v>
      </c>
      <c r="AP45" s="98">
        <f t="shared" si="6"/>
        <v>0</v>
      </c>
      <c r="AQ45" s="734"/>
      <c r="AR45" s="98"/>
    </row>
    <row r="46" spans="2:47" ht="27.45" customHeight="1">
      <c r="B46" s="72"/>
      <c r="C46" s="872"/>
      <c r="D46" s="873"/>
      <c r="E46" s="873"/>
      <c r="F46" s="874"/>
      <c r="G46" s="71"/>
      <c r="H46" s="167"/>
      <c r="I46" s="73"/>
      <c r="J46" s="663"/>
      <c r="K46" s="713"/>
      <c r="L46" s="714"/>
      <c r="M46" s="715"/>
      <c r="N46" s="8"/>
      <c r="O46" s="629" t="s">
        <v>350</v>
      </c>
      <c r="P46" s="630"/>
      <c r="Q46" s="630"/>
      <c r="R46" s="630"/>
      <c r="S46" s="630"/>
      <c r="T46" s="630"/>
      <c r="U46" s="630"/>
      <c r="V46" s="630"/>
      <c r="W46" s="630"/>
      <c r="X46" s="630"/>
      <c r="Y46" s="631"/>
      <c r="Z46" s="176" t="b">
        <v>0</v>
      </c>
      <c r="AA46" s="8"/>
      <c r="AB46" s="921"/>
      <c r="AC46" s="645"/>
      <c r="AD46" s="645"/>
      <c r="AE46" s="646"/>
      <c r="AF46" s="74"/>
      <c r="AG46" s="167"/>
      <c r="AH46" s="72"/>
      <c r="AI46" s="914"/>
      <c r="AJ46" s="915"/>
      <c r="AK46" s="915"/>
      <c r="AL46" s="916"/>
      <c r="AM46" s="71"/>
      <c r="AO46" s="117">
        <f t="shared" si="5"/>
        <v>0</v>
      </c>
      <c r="AP46" s="98">
        <f t="shared" si="6"/>
        <v>0</v>
      </c>
      <c r="AQ46" s="734"/>
      <c r="AR46" s="98"/>
    </row>
    <row r="47" spans="2:47" ht="27.45" customHeight="1">
      <c r="B47" s="72"/>
      <c r="C47" s="872"/>
      <c r="D47" s="873"/>
      <c r="E47" s="873"/>
      <c r="F47" s="874"/>
      <c r="G47" s="71"/>
      <c r="H47" s="167"/>
      <c r="I47" s="73"/>
      <c r="J47" s="663"/>
      <c r="K47" s="713"/>
      <c r="L47" s="714"/>
      <c r="M47" s="715"/>
      <c r="N47" s="8"/>
      <c r="O47" s="629" t="s">
        <v>351</v>
      </c>
      <c r="P47" s="630"/>
      <c r="Q47" s="630"/>
      <c r="R47" s="630"/>
      <c r="S47" s="630"/>
      <c r="T47" s="630"/>
      <c r="U47" s="630"/>
      <c r="V47" s="630"/>
      <c r="W47" s="630"/>
      <c r="X47" s="630"/>
      <c r="Y47" s="631"/>
      <c r="Z47" s="176" t="b">
        <v>0</v>
      </c>
      <c r="AA47" s="8"/>
      <c r="AB47" s="921"/>
      <c r="AC47" s="645"/>
      <c r="AD47" s="645"/>
      <c r="AE47" s="646"/>
      <c r="AF47" s="74"/>
      <c r="AG47" s="167"/>
      <c r="AH47" s="72"/>
      <c r="AI47" s="914"/>
      <c r="AJ47" s="915"/>
      <c r="AK47" s="915"/>
      <c r="AL47" s="916"/>
      <c r="AM47" s="71"/>
      <c r="AO47" s="117">
        <f t="shared" si="5"/>
        <v>0</v>
      </c>
      <c r="AP47" s="98">
        <f t="shared" si="6"/>
        <v>0</v>
      </c>
      <c r="AQ47" s="734"/>
      <c r="AR47" s="98"/>
    </row>
    <row r="48" spans="2:47" ht="27.45" customHeight="1">
      <c r="B48" s="72"/>
      <c r="C48" s="872"/>
      <c r="D48" s="873"/>
      <c r="E48" s="873"/>
      <c r="F48" s="874"/>
      <c r="G48" s="71"/>
      <c r="H48" s="167"/>
      <c r="I48" s="73"/>
      <c r="J48" s="663"/>
      <c r="K48" s="713"/>
      <c r="L48" s="714"/>
      <c r="M48" s="715"/>
      <c r="N48" s="8"/>
      <c r="O48" s="629" t="s">
        <v>347</v>
      </c>
      <c r="P48" s="630"/>
      <c r="Q48" s="630"/>
      <c r="R48" s="630"/>
      <c r="S48" s="630"/>
      <c r="T48" s="630"/>
      <c r="U48" s="630"/>
      <c r="V48" s="630"/>
      <c r="W48" s="630"/>
      <c r="X48" s="630"/>
      <c r="Y48" s="631"/>
      <c r="Z48" s="176" t="b">
        <v>0</v>
      </c>
      <c r="AA48" s="8"/>
      <c r="AB48" s="921"/>
      <c r="AC48" s="645"/>
      <c r="AD48" s="645"/>
      <c r="AE48" s="646"/>
      <c r="AF48" s="74"/>
      <c r="AG48" s="167"/>
      <c r="AH48" s="72"/>
      <c r="AI48" s="914"/>
      <c r="AJ48" s="915"/>
      <c r="AK48" s="915"/>
      <c r="AL48" s="916"/>
      <c r="AM48" s="71"/>
      <c r="AO48" s="117">
        <f t="shared" si="5"/>
        <v>0</v>
      </c>
      <c r="AP48" s="98">
        <f t="shared" si="6"/>
        <v>0</v>
      </c>
      <c r="AQ48" s="734"/>
      <c r="AR48" s="98"/>
    </row>
    <row r="49" spans="2:44" ht="27.45" customHeight="1">
      <c r="B49" s="72"/>
      <c r="C49" s="872"/>
      <c r="D49" s="873"/>
      <c r="E49" s="873"/>
      <c r="F49" s="874"/>
      <c r="G49" s="71"/>
      <c r="H49" s="167"/>
      <c r="I49" s="73"/>
      <c r="J49" s="663"/>
      <c r="K49" s="713"/>
      <c r="L49" s="714"/>
      <c r="M49" s="715"/>
      <c r="N49" s="8"/>
      <c r="O49" s="629" t="s">
        <v>728</v>
      </c>
      <c r="P49" s="630"/>
      <c r="Q49" s="630"/>
      <c r="R49" s="630"/>
      <c r="S49" s="630"/>
      <c r="T49" s="630"/>
      <c r="U49" s="630"/>
      <c r="V49" s="630"/>
      <c r="W49" s="630"/>
      <c r="X49" s="630"/>
      <c r="Y49" s="631"/>
      <c r="Z49" s="176" t="b">
        <v>0</v>
      </c>
      <c r="AA49" s="8"/>
      <c r="AB49" s="921"/>
      <c r="AC49" s="645"/>
      <c r="AD49" s="645"/>
      <c r="AE49" s="646"/>
      <c r="AF49" s="74"/>
      <c r="AG49" s="167"/>
      <c r="AH49" s="72"/>
      <c r="AI49" s="914"/>
      <c r="AJ49" s="915"/>
      <c r="AK49" s="915"/>
      <c r="AL49" s="916"/>
      <c r="AM49" s="71"/>
      <c r="AO49" s="117">
        <f t="shared" si="5"/>
        <v>0</v>
      </c>
      <c r="AP49" s="98"/>
      <c r="AQ49" s="734"/>
      <c r="AR49" s="98"/>
    </row>
    <row r="50" spans="2:44" ht="27.45" customHeight="1">
      <c r="B50" s="72"/>
      <c r="C50" s="872"/>
      <c r="D50" s="873"/>
      <c r="E50" s="873"/>
      <c r="F50" s="874"/>
      <c r="G50" s="71"/>
      <c r="H50" s="167"/>
      <c r="I50" s="73"/>
      <c r="J50" s="664"/>
      <c r="K50" s="716"/>
      <c r="L50" s="717"/>
      <c r="M50" s="718"/>
      <c r="N50" s="8"/>
      <c r="O50" s="629" t="s">
        <v>464</v>
      </c>
      <c r="P50" s="630"/>
      <c r="Q50" s="630"/>
      <c r="R50" s="630"/>
      <c r="S50" s="630"/>
      <c r="T50" s="630"/>
      <c r="U50" s="630"/>
      <c r="V50" s="630"/>
      <c r="W50" s="630"/>
      <c r="X50" s="630"/>
      <c r="Y50" s="631"/>
      <c r="Z50" s="176" t="b">
        <v>0</v>
      </c>
      <c r="AA50" s="8"/>
      <c r="AB50" s="922"/>
      <c r="AC50" s="648"/>
      <c r="AD50" s="648"/>
      <c r="AE50" s="649"/>
      <c r="AF50" s="74"/>
      <c r="AG50" s="167"/>
      <c r="AH50" s="72"/>
      <c r="AI50" s="914"/>
      <c r="AJ50" s="915"/>
      <c r="AK50" s="915"/>
      <c r="AL50" s="916"/>
      <c r="AM50" s="71"/>
      <c r="AO50" s="117">
        <f t="shared" si="5"/>
        <v>0</v>
      </c>
      <c r="AP50" s="98"/>
      <c r="AQ50" s="734"/>
      <c r="AR50" s="98"/>
    </row>
    <row r="51" spans="2:44" ht="27.45" customHeight="1">
      <c r="B51" s="72"/>
      <c r="C51" s="872"/>
      <c r="D51" s="873"/>
      <c r="E51" s="873"/>
      <c r="F51" s="874"/>
      <c r="G51" s="71"/>
      <c r="H51" s="167"/>
      <c r="I51" s="73"/>
      <c r="J51" s="57"/>
      <c r="K51" s="210"/>
      <c r="L51" s="210"/>
      <c r="M51" s="210"/>
      <c r="N51" s="8"/>
      <c r="O51" s="62"/>
      <c r="P51" s="62"/>
      <c r="Q51" s="62"/>
      <c r="R51" s="62"/>
      <c r="S51" s="62"/>
      <c r="T51" s="62"/>
      <c r="U51" s="62"/>
      <c r="V51" s="62"/>
      <c r="W51" s="62"/>
      <c r="X51" s="62"/>
      <c r="Y51" s="62"/>
      <c r="Z51" s="25"/>
      <c r="AA51" s="8"/>
      <c r="AB51" s="24"/>
      <c r="AC51" s="24"/>
      <c r="AD51" s="24"/>
      <c r="AE51" s="24"/>
      <c r="AF51" s="74"/>
      <c r="AG51" s="167"/>
      <c r="AH51" s="72"/>
      <c r="AI51" s="914"/>
      <c r="AJ51" s="915"/>
      <c r="AK51" s="915"/>
      <c r="AL51" s="916"/>
      <c r="AM51" s="71"/>
      <c r="AO51" s="117"/>
      <c r="AP51" s="98"/>
      <c r="AQ51" s="734"/>
      <c r="AR51" s="98"/>
    </row>
    <row r="52" spans="2:44" ht="27.45" customHeight="1">
      <c r="B52" s="72"/>
      <c r="C52" s="872"/>
      <c r="D52" s="873"/>
      <c r="E52" s="873"/>
      <c r="F52" s="874"/>
      <c r="G52" s="71"/>
      <c r="H52" s="167"/>
      <c r="I52" s="73"/>
      <c r="J52" s="662">
        <v>3.3</v>
      </c>
      <c r="K52" s="710" t="s">
        <v>1071</v>
      </c>
      <c r="L52" s="711"/>
      <c r="M52" s="712"/>
      <c r="N52" s="8"/>
      <c r="O52" s="843" t="s">
        <v>990</v>
      </c>
      <c r="P52" s="843"/>
      <c r="Q52" s="843"/>
      <c r="R52" s="843"/>
      <c r="S52" s="843"/>
      <c r="T52" s="843"/>
      <c r="U52" s="843"/>
      <c r="V52" s="843"/>
      <c r="W52" s="843"/>
      <c r="X52" s="843"/>
      <c r="Y52" s="843"/>
      <c r="Z52" s="176" t="b">
        <v>0</v>
      </c>
      <c r="AA52" s="8"/>
      <c r="AB52" s="920" t="s">
        <v>60</v>
      </c>
      <c r="AC52" s="624"/>
      <c r="AD52" s="624"/>
      <c r="AE52" s="625"/>
      <c r="AF52" s="74"/>
      <c r="AG52" s="167"/>
      <c r="AH52" s="72"/>
      <c r="AI52" s="914"/>
      <c r="AJ52" s="915"/>
      <c r="AK52" s="915"/>
      <c r="AL52" s="916"/>
      <c r="AM52" s="71"/>
      <c r="AO52" s="117">
        <f t="shared" si="5"/>
        <v>0</v>
      </c>
      <c r="AP52" s="98">
        <f>IF(AO52,5,IF(AO53,3,IF(AO54,2,IF(AO55,0,0))))</f>
        <v>0</v>
      </c>
      <c r="AQ52" s="734"/>
      <c r="AR52" s="98"/>
    </row>
    <row r="53" spans="2:44" ht="27.45" customHeight="1">
      <c r="B53" s="72"/>
      <c r="C53" s="872"/>
      <c r="D53" s="873"/>
      <c r="E53" s="873"/>
      <c r="F53" s="874"/>
      <c r="G53" s="71"/>
      <c r="H53" s="167"/>
      <c r="I53" s="73"/>
      <c r="J53" s="663"/>
      <c r="K53" s="713"/>
      <c r="L53" s="714"/>
      <c r="M53" s="715"/>
      <c r="N53" s="8"/>
      <c r="O53" s="843" t="s">
        <v>945</v>
      </c>
      <c r="P53" s="843"/>
      <c r="Q53" s="843"/>
      <c r="R53" s="843"/>
      <c r="S53" s="843"/>
      <c r="T53" s="843"/>
      <c r="U53" s="843"/>
      <c r="V53" s="843"/>
      <c r="W53" s="843"/>
      <c r="X53" s="843"/>
      <c r="Y53" s="843"/>
      <c r="Z53" s="176" t="b">
        <v>0</v>
      </c>
      <c r="AA53" s="8"/>
      <c r="AB53" s="921"/>
      <c r="AC53" s="645"/>
      <c r="AD53" s="645"/>
      <c r="AE53" s="646"/>
      <c r="AF53" s="74"/>
      <c r="AG53" s="167"/>
      <c r="AH53" s="72"/>
      <c r="AI53" s="914"/>
      <c r="AJ53" s="915"/>
      <c r="AK53" s="915"/>
      <c r="AL53" s="916"/>
      <c r="AM53" s="71"/>
      <c r="AO53" s="117">
        <f t="shared" si="5"/>
        <v>0</v>
      </c>
      <c r="AP53" s="98"/>
      <c r="AQ53" s="734"/>
      <c r="AR53" s="98"/>
    </row>
    <row r="54" spans="2:44" ht="27.45" customHeight="1">
      <c r="B54" s="72"/>
      <c r="C54" s="872"/>
      <c r="D54" s="873"/>
      <c r="E54" s="873"/>
      <c r="F54" s="874"/>
      <c r="G54" s="71"/>
      <c r="H54" s="167"/>
      <c r="I54" s="73"/>
      <c r="J54" s="663"/>
      <c r="K54" s="713"/>
      <c r="L54" s="714"/>
      <c r="M54" s="715"/>
      <c r="N54" s="8"/>
      <c r="O54" s="843" t="s">
        <v>946</v>
      </c>
      <c r="P54" s="843"/>
      <c r="Q54" s="843"/>
      <c r="R54" s="843"/>
      <c r="S54" s="843"/>
      <c r="T54" s="843"/>
      <c r="U54" s="843"/>
      <c r="V54" s="843"/>
      <c r="W54" s="843"/>
      <c r="X54" s="843"/>
      <c r="Y54" s="843"/>
      <c r="Z54" s="176" t="b">
        <v>0</v>
      </c>
      <c r="AA54" s="8"/>
      <c r="AB54" s="921"/>
      <c r="AC54" s="645"/>
      <c r="AD54" s="645"/>
      <c r="AE54" s="646"/>
      <c r="AF54" s="74"/>
      <c r="AG54" s="167"/>
      <c r="AH54" s="72"/>
      <c r="AI54" s="914"/>
      <c r="AJ54" s="915"/>
      <c r="AK54" s="915"/>
      <c r="AL54" s="916"/>
      <c r="AM54" s="71"/>
      <c r="AO54" s="117">
        <f t="shared" si="5"/>
        <v>0</v>
      </c>
      <c r="AP54" s="98"/>
      <c r="AQ54" s="734"/>
      <c r="AR54" s="98"/>
    </row>
    <row r="55" spans="2:44" ht="27.45" customHeight="1">
      <c r="B55" s="72"/>
      <c r="C55" s="875"/>
      <c r="D55" s="876"/>
      <c r="E55" s="876"/>
      <c r="F55" s="877"/>
      <c r="G55" s="71"/>
      <c r="H55" s="167"/>
      <c r="I55" s="73"/>
      <c r="J55" s="664"/>
      <c r="K55" s="716"/>
      <c r="L55" s="717"/>
      <c r="M55" s="718"/>
      <c r="N55" s="8"/>
      <c r="O55" s="843" t="s">
        <v>947</v>
      </c>
      <c r="P55" s="843"/>
      <c r="Q55" s="843"/>
      <c r="R55" s="843"/>
      <c r="S55" s="843"/>
      <c r="T55" s="843"/>
      <c r="U55" s="843"/>
      <c r="V55" s="843"/>
      <c r="W55" s="843"/>
      <c r="X55" s="843"/>
      <c r="Y55" s="843"/>
      <c r="Z55" s="176" t="b">
        <v>0</v>
      </c>
      <c r="AA55" s="8"/>
      <c r="AB55" s="921"/>
      <c r="AC55" s="645"/>
      <c r="AD55" s="645"/>
      <c r="AE55" s="646"/>
      <c r="AF55" s="74"/>
      <c r="AG55" s="167"/>
      <c r="AH55" s="72"/>
      <c r="AI55" s="914"/>
      <c r="AJ55" s="915"/>
      <c r="AK55" s="915"/>
      <c r="AL55" s="916"/>
      <c r="AM55" s="71"/>
      <c r="AO55" s="117">
        <f>IF(Z55, 1, 0)</f>
        <v>0</v>
      </c>
      <c r="AP55" s="98"/>
      <c r="AQ55" s="735"/>
      <c r="AR55" s="98"/>
    </row>
    <row r="56" spans="2:44" ht="18" thickBot="1">
      <c r="B56" s="72"/>
      <c r="C56" s="273"/>
      <c r="D56" s="273"/>
      <c r="E56" s="273"/>
      <c r="F56" s="273"/>
      <c r="G56" s="71"/>
      <c r="H56" s="167"/>
      <c r="I56" s="73"/>
      <c r="J56" s="57"/>
      <c r="K56" s="210"/>
      <c r="L56" s="210"/>
      <c r="M56" s="210"/>
      <c r="N56" s="8"/>
      <c r="O56" s="62"/>
      <c r="P56" s="18"/>
      <c r="Q56" s="62"/>
      <c r="R56" s="18"/>
      <c r="S56" s="62"/>
      <c r="T56" s="18"/>
      <c r="U56" s="18"/>
      <c r="V56" s="18"/>
      <c r="W56" s="62"/>
      <c r="X56" s="18"/>
      <c r="Y56" s="62"/>
      <c r="Z56" s="25"/>
      <c r="AA56" s="8"/>
      <c r="AB56" s="921"/>
      <c r="AC56" s="645"/>
      <c r="AD56" s="645"/>
      <c r="AE56" s="646"/>
      <c r="AF56" s="74"/>
      <c r="AG56" s="167"/>
      <c r="AH56" s="72"/>
      <c r="AI56" s="914"/>
      <c r="AJ56" s="915"/>
      <c r="AK56" s="915"/>
      <c r="AL56" s="916"/>
      <c r="AM56" s="71"/>
      <c r="AO56" s="123">
        <f>SUM(AO43:AO50)</f>
        <v>0</v>
      </c>
      <c r="AP56" s="123">
        <f>SUM(AP38:AP55)</f>
        <v>0</v>
      </c>
      <c r="AQ56" s="552"/>
      <c r="AR56" s="98"/>
    </row>
    <row r="57" spans="2:44" ht="18" thickTop="1">
      <c r="B57" s="73"/>
      <c r="C57" s="8"/>
      <c r="D57" s="8"/>
      <c r="E57" s="8"/>
      <c r="F57" s="8"/>
      <c r="G57" s="74"/>
      <c r="H57" s="167"/>
      <c r="I57" s="73"/>
      <c r="J57" s="28" t="s">
        <v>30</v>
      </c>
      <c r="K57" s="28" t="s">
        <v>634</v>
      </c>
      <c r="L57" s="216"/>
      <c r="M57" s="216"/>
      <c r="N57" s="8"/>
      <c r="O57" s="62"/>
      <c r="P57" s="18"/>
      <c r="Q57" s="62"/>
      <c r="R57" s="18"/>
      <c r="S57" s="62"/>
      <c r="T57" s="18"/>
      <c r="U57" s="18"/>
      <c r="V57" s="18"/>
      <c r="W57" s="62"/>
      <c r="X57" s="18"/>
      <c r="Y57" s="62"/>
      <c r="Z57" s="25"/>
      <c r="AA57" s="8"/>
      <c r="AB57" s="922"/>
      <c r="AC57" s="648"/>
      <c r="AD57" s="648"/>
      <c r="AE57" s="649"/>
      <c r="AF57" s="74"/>
      <c r="AG57" s="167"/>
      <c r="AH57" s="73"/>
      <c r="AI57" s="917"/>
      <c r="AJ57" s="918"/>
      <c r="AK57" s="918"/>
      <c r="AL57" s="919"/>
      <c r="AM57" s="74"/>
      <c r="AN57" s="189"/>
      <c r="AO57" s="98"/>
      <c r="AP57" s="98"/>
      <c r="AQ57" s="111"/>
      <c r="AR57" s="111"/>
    </row>
    <row r="58" spans="2:44">
      <c r="B58" s="73"/>
      <c r="C58" s="8"/>
      <c r="D58" s="8"/>
      <c r="E58" s="8"/>
      <c r="F58" s="8"/>
      <c r="G58" s="74"/>
      <c r="H58" s="167"/>
      <c r="I58" s="73"/>
      <c r="J58" s="28"/>
      <c r="K58" s="209"/>
      <c r="L58" s="216"/>
      <c r="M58" s="216"/>
      <c r="N58" s="8"/>
      <c r="O58" s="62"/>
      <c r="P58" s="18"/>
      <c r="Q58" s="62"/>
      <c r="R58" s="18"/>
      <c r="S58" s="62"/>
      <c r="T58" s="18"/>
      <c r="U58" s="18"/>
      <c r="V58" s="18"/>
      <c r="W58" s="62"/>
      <c r="X58" s="18"/>
      <c r="Y58" s="62"/>
      <c r="Z58" s="25"/>
      <c r="AA58" s="8"/>
      <c r="AB58" s="8"/>
      <c r="AC58" s="8"/>
      <c r="AD58" s="8"/>
      <c r="AE58" s="8"/>
      <c r="AF58" s="74"/>
      <c r="AG58" s="167"/>
      <c r="AH58" s="73"/>
      <c r="AI58" s="8"/>
      <c r="AJ58" s="8"/>
      <c r="AK58" s="8"/>
      <c r="AL58" s="8"/>
      <c r="AM58" s="74"/>
      <c r="AN58" s="189"/>
      <c r="AO58" s="98"/>
      <c r="AP58" s="98"/>
      <c r="AQ58" s="111"/>
      <c r="AR58" s="111"/>
    </row>
    <row r="59" spans="2:44" ht="34.5" customHeight="1">
      <c r="B59" s="73"/>
      <c r="C59" s="869" t="s">
        <v>1133</v>
      </c>
      <c r="D59" s="870"/>
      <c r="E59" s="870"/>
      <c r="F59" s="871"/>
      <c r="G59" s="74"/>
      <c r="H59" s="167"/>
      <c r="I59" s="73"/>
      <c r="J59" s="793">
        <v>4.0999999999999996</v>
      </c>
      <c r="K59" s="890" t="s">
        <v>978</v>
      </c>
      <c r="L59" s="890"/>
      <c r="M59" s="890"/>
      <c r="N59" s="233"/>
      <c r="O59" s="843" t="s">
        <v>948</v>
      </c>
      <c r="P59" s="843"/>
      <c r="Q59" s="843"/>
      <c r="R59" s="843"/>
      <c r="S59" s="843"/>
      <c r="T59" s="843"/>
      <c r="U59" s="843"/>
      <c r="V59" s="843"/>
      <c r="W59" s="843"/>
      <c r="X59" s="843"/>
      <c r="Y59" s="843"/>
      <c r="Z59" s="176" t="b">
        <v>0</v>
      </c>
      <c r="AA59" s="226"/>
      <c r="AB59" s="619" t="s">
        <v>60</v>
      </c>
      <c r="AC59" s="619"/>
      <c r="AD59" s="619"/>
      <c r="AE59" s="619"/>
      <c r="AF59" s="71"/>
      <c r="AG59" s="166"/>
      <c r="AH59" s="69"/>
      <c r="AI59" s="911" t="str">
        <f>IF(OR(AO64,AO65),Feedback_List!B55, " ")</f>
        <v xml:space="preserve"> </v>
      </c>
      <c r="AJ59" s="912"/>
      <c r="AK59" s="912"/>
      <c r="AL59" s="913"/>
      <c r="AM59" s="70"/>
      <c r="AO59" s="177">
        <f t="shared" ref="AO59:AO66" si="7">IF(Z59, 1, 0)</f>
        <v>0</v>
      </c>
      <c r="AP59" s="178">
        <f>IF(AO59,1,0)</f>
        <v>0</v>
      </c>
      <c r="AQ59" s="923" cm="1">
        <f t="array" ref="AQ59">SUM(AP59:AP79*AZ10)</f>
        <v>0</v>
      </c>
      <c r="AR59" s="98"/>
    </row>
    <row r="60" spans="2:44" ht="34.5" customHeight="1">
      <c r="B60" s="73"/>
      <c r="C60" s="872"/>
      <c r="D60" s="873"/>
      <c r="E60" s="873"/>
      <c r="F60" s="874"/>
      <c r="G60" s="74"/>
      <c r="H60" s="167"/>
      <c r="I60" s="73"/>
      <c r="J60" s="793"/>
      <c r="K60" s="890"/>
      <c r="L60" s="890"/>
      <c r="M60" s="890"/>
      <c r="N60" s="233"/>
      <c r="O60" s="629" t="s">
        <v>949</v>
      </c>
      <c r="P60" s="630"/>
      <c r="Q60" s="630"/>
      <c r="R60" s="630"/>
      <c r="S60" s="630"/>
      <c r="T60" s="630"/>
      <c r="U60" s="630"/>
      <c r="V60" s="630"/>
      <c r="W60" s="630"/>
      <c r="X60" s="630"/>
      <c r="Y60" s="631"/>
      <c r="Z60" s="176" t="b">
        <v>0</v>
      </c>
      <c r="AA60" s="226"/>
      <c r="AB60" s="619"/>
      <c r="AC60" s="619"/>
      <c r="AD60" s="619"/>
      <c r="AE60" s="619"/>
      <c r="AF60" s="71"/>
      <c r="AG60" s="166"/>
      <c r="AH60" s="69"/>
      <c r="AI60" s="914"/>
      <c r="AJ60" s="915"/>
      <c r="AK60" s="915"/>
      <c r="AL60" s="916"/>
      <c r="AM60" s="70"/>
      <c r="AO60" s="117">
        <f t="shared" si="7"/>
        <v>0</v>
      </c>
      <c r="AP60" s="116">
        <f>IF(AO60,1,0)</f>
        <v>0</v>
      </c>
      <c r="AQ60" s="924"/>
      <c r="AR60" s="98"/>
    </row>
    <row r="61" spans="2:44" ht="34.5" customHeight="1">
      <c r="B61" s="73"/>
      <c r="C61" s="872"/>
      <c r="D61" s="873"/>
      <c r="E61" s="873"/>
      <c r="F61" s="874"/>
      <c r="G61" s="74"/>
      <c r="H61" s="167"/>
      <c r="I61" s="73"/>
      <c r="J61" s="793"/>
      <c r="K61" s="890"/>
      <c r="L61" s="890"/>
      <c r="M61" s="890"/>
      <c r="N61" s="233"/>
      <c r="O61" s="843" t="s">
        <v>950</v>
      </c>
      <c r="P61" s="843"/>
      <c r="Q61" s="843"/>
      <c r="R61" s="843"/>
      <c r="S61" s="843"/>
      <c r="T61" s="843"/>
      <c r="U61" s="843"/>
      <c r="V61" s="843"/>
      <c r="W61" s="843"/>
      <c r="X61" s="843"/>
      <c r="Y61" s="843"/>
      <c r="Z61" s="176" t="b">
        <v>0</v>
      </c>
      <c r="AA61" s="226"/>
      <c r="AB61" s="619"/>
      <c r="AC61" s="619"/>
      <c r="AD61" s="619"/>
      <c r="AE61" s="619"/>
      <c r="AF61" s="71"/>
      <c r="AG61" s="166"/>
      <c r="AH61" s="69"/>
      <c r="AI61" s="914"/>
      <c r="AJ61" s="915"/>
      <c r="AK61" s="915"/>
      <c r="AL61" s="916"/>
      <c r="AM61" s="70"/>
      <c r="AO61" s="117">
        <f t="shared" si="7"/>
        <v>0</v>
      </c>
      <c r="AP61" s="116">
        <f>IF(AO61,1,0)</f>
        <v>0</v>
      </c>
      <c r="AQ61" s="924"/>
      <c r="AR61" s="98"/>
    </row>
    <row r="62" spans="2:44" ht="34.5" customHeight="1">
      <c r="B62" s="73"/>
      <c r="C62" s="872"/>
      <c r="D62" s="873"/>
      <c r="E62" s="873"/>
      <c r="F62" s="874"/>
      <c r="G62" s="74"/>
      <c r="H62" s="167"/>
      <c r="I62" s="73"/>
      <c r="J62" s="793"/>
      <c r="K62" s="890"/>
      <c r="L62" s="890"/>
      <c r="M62" s="890"/>
      <c r="N62" s="233"/>
      <c r="O62" s="843" t="s">
        <v>241</v>
      </c>
      <c r="P62" s="843"/>
      <c r="Q62" s="843"/>
      <c r="R62" s="843"/>
      <c r="S62" s="843"/>
      <c r="T62" s="843"/>
      <c r="U62" s="843"/>
      <c r="V62" s="843"/>
      <c r="W62" s="843"/>
      <c r="X62" s="843"/>
      <c r="Y62" s="843"/>
      <c r="Z62" s="176" t="b">
        <v>0</v>
      </c>
      <c r="AA62" s="226"/>
      <c r="AB62" s="619"/>
      <c r="AC62" s="619"/>
      <c r="AD62" s="619"/>
      <c r="AE62" s="619"/>
      <c r="AF62" s="71"/>
      <c r="AG62" s="166"/>
      <c r="AH62" s="72"/>
      <c r="AI62" s="914"/>
      <c r="AJ62" s="915"/>
      <c r="AK62" s="915"/>
      <c r="AL62" s="916"/>
      <c r="AM62" s="71"/>
      <c r="AO62" s="117">
        <f t="shared" si="7"/>
        <v>0</v>
      </c>
      <c r="AP62" s="116">
        <f>IF(AO62,1,0)</f>
        <v>0</v>
      </c>
      <c r="AQ62" s="924"/>
      <c r="AR62" s="98"/>
    </row>
    <row r="63" spans="2:44" ht="34.5" customHeight="1">
      <c r="B63" s="73"/>
      <c r="C63" s="872"/>
      <c r="D63" s="873"/>
      <c r="E63" s="873"/>
      <c r="F63" s="874"/>
      <c r="G63" s="74"/>
      <c r="H63" s="167"/>
      <c r="I63" s="73"/>
      <c r="J63" s="793"/>
      <c r="K63" s="890"/>
      <c r="L63" s="890"/>
      <c r="M63" s="890"/>
      <c r="N63" s="233"/>
      <c r="O63" s="843" t="s">
        <v>242</v>
      </c>
      <c r="P63" s="843"/>
      <c r="Q63" s="843"/>
      <c r="R63" s="843"/>
      <c r="S63" s="843"/>
      <c r="T63" s="843"/>
      <c r="U63" s="843"/>
      <c r="V63" s="843"/>
      <c r="W63" s="843"/>
      <c r="X63" s="843"/>
      <c r="Y63" s="843"/>
      <c r="Z63" s="176" t="b">
        <v>0</v>
      </c>
      <c r="AA63" s="226"/>
      <c r="AB63" s="619"/>
      <c r="AC63" s="619"/>
      <c r="AD63" s="619"/>
      <c r="AE63" s="619"/>
      <c r="AF63" s="71"/>
      <c r="AG63" s="166"/>
      <c r="AH63" s="72"/>
      <c r="AI63" s="914"/>
      <c r="AJ63" s="915"/>
      <c r="AK63" s="915"/>
      <c r="AL63" s="916"/>
      <c r="AM63" s="71"/>
      <c r="AO63" s="117">
        <f t="shared" si="7"/>
        <v>0</v>
      </c>
      <c r="AP63" s="116">
        <f>IF(AO63,1,0)</f>
        <v>0</v>
      </c>
      <c r="AQ63" s="924"/>
      <c r="AR63" s="98"/>
    </row>
    <row r="64" spans="2:44" ht="34.5" customHeight="1">
      <c r="B64" s="73"/>
      <c r="C64" s="872"/>
      <c r="D64" s="873"/>
      <c r="E64" s="873"/>
      <c r="F64" s="874"/>
      <c r="G64" s="74"/>
      <c r="H64" s="167"/>
      <c r="I64" s="73"/>
      <c r="J64" s="793"/>
      <c r="K64" s="890"/>
      <c r="L64" s="890"/>
      <c r="M64" s="890"/>
      <c r="N64" s="233"/>
      <c r="O64" s="629" t="s">
        <v>723</v>
      </c>
      <c r="P64" s="630"/>
      <c r="Q64" s="630"/>
      <c r="R64" s="630"/>
      <c r="S64" s="630"/>
      <c r="T64" s="630"/>
      <c r="U64" s="630"/>
      <c r="V64" s="630"/>
      <c r="W64" s="630"/>
      <c r="X64" s="630"/>
      <c r="Y64" s="631"/>
      <c r="Z64" s="176" t="b">
        <v>0</v>
      </c>
      <c r="AA64" s="226"/>
      <c r="AB64" s="619"/>
      <c r="AC64" s="619"/>
      <c r="AD64" s="619"/>
      <c r="AE64" s="619"/>
      <c r="AF64" s="71"/>
      <c r="AG64" s="166"/>
      <c r="AH64" s="72"/>
      <c r="AI64" s="914"/>
      <c r="AJ64" s="915"/>
      <c r="AK64" s="915"/>
      <c r="AL64" s="916"/>
      <c r="AM64" s="71"/>
      <c r="AO64" s="117">
        <f t="shared" si="7"/>
        <v>0</v>
      </c>
      <c r="AP64" s="116"/>
      <c r="AQ64" s="924"/>
      <c r="AR64" s="98"/>
    </row>
    <row r="65" spans="2:47" ht="34.5" customHeight="1">
      <c r="B65" s="73"/>
      <c r="C65" s="872"/>
      <c r="D65" s="873"/>
      <c r="E65" s="873"/>
      <c r="F65" s="874"/>
      <c r="G65" s="74"/>
      <c r="H65" s="167"/>
      <c r="I65" s="73"/>
      <c r="J65" s="793"/>
      <c r="K65" s="890"/>
      <c r="L65" s="890"/>
      <c r="M65" s="890"/>
      <c r="N65" s="233"/>
      <c r="O65" s="629" t="s">
        <v>461</v>
      </c>
      <c r="P65" s="630"/>
      <c r="Q65" s="630"/>
      <c r="R65" s="630"/>
      <c r="S65" s="630"/>
      <c r="T65" s="630"/>
      <c r="U65" s="630"/>
      <c r="V65" s="630"/>
      <c r="W65" s="630"/>
      <c r="X65" s="630"/>
      <c r="Y65" s="631"/>
      <c r="Z65" s="176" t="b">
        <v>0</v>
      </c>
      <c r="AA65" s="226"/>
      <c r="AB65" s="619"/>
      <c r="AC65" s="619"/>
      <c r="AD65" s="619"/>
      <c r="AE65" s="619"/>
      <c r="AF65" s="71"/>
      <c r="AG65" s="166"/>
      <c r="AH65" s="72"/>
      <c r="AI65" s="914"/>
      <c r="AJ65" s="915"/>
      <c r="AK65" s="915"/>
      <c r="AL65" s="916"/>
      <c r="AM65" s="71"/>
      <c r="AO65" s="117">
        <f t="shared" si="7"/>
        <v>0</v>
      </c>
      <c r="AP65" s="116"/>
      <c r="AQ65" s="924"/>
      <c r="AR65" s="98"/>
    </row>
    <row r="66" spans="2:47" ht="37.049999999999997" customHeight="1">
      <c r="B66" s="73"/>
      <c r="C66" s="875"/>
      <c r="D66" s="876"/>
      <c r="E66" s="876"/>
      <c r="F66" s="877"/>
      <c r="G66" s="74"/>
      <c r="H66" s="167"/>
      <c r="I66" s="73"/>
      <c r="J66" s="793"/>
      <c r="K66" s="890"/>
      <c r="L66" s="890"/>
      <c r="M66" s="890"/>
      <c r="N66" s="233"/>
      <c r="O66" s="843" t="s">
        <v>171</v>
      </c>
      <c r="P66" s="843"/>
      <c r="Q66" s="843"/>
      <c r="R66" s="843"/>
      <c r="S66" s="843"/>
      <c r="T66" s="843"/>
      <c r="U66" s="843"/>
      <c r="V66" s="843"/>
      <c r="W66" s="843"/>
      <c r="X66" s="843"/>
      <c r="Y66" s="843"/>
      <c r="Z66" s="176" t="b">
        <v>0</v>
      </c>
      <c r="AA66" s="226"/>
      <c r="AB66" s="619"/>
      <c r="AC66" s="619"/>
      <c r="AD66" s="619"/>
      <c r="AE66" s="619"/>
      <c r="AF66" s="71"/>
      <c r="AG66" s="166"/>
      <c r="AH66" s="72"/>
      <c r="AI66" s="917"/>
      <c r="AJ66" s="918"/>
      <c r="AK66" s="918"/>
      <c r="AL66" s="919"/>
      <c r="AM66" s="71"/>
      <c r="AO66" s="117">
        <f t="shared" si="7"/>
        <v>0</v>
      </c>
      <c r="AP66" s="116">
        <f>IF(AO66,1,0)</f>
        <v>0</v>
      </c>
      <c r="AQ66" s="924"/>
      <c r="AR66" s="98"/>
    </row>
    <row r="67" spans="2:47">
      <c r="B67" s="73"/>
      <c r="C67" s="8"/>
      <c r="D67" s="8"/>
      <c r="E67" s="8"/>
      <c r="F67" s="8"/>
      <c r="G67" s="74"/>
      <c r="H67" s="167"/>
      <c r="I67" s="73"/>
      <c r="J67" s="28"/>
      <c r="K67" s="209"/>
      <c r="L67" s="216"/>
      <c r="M67" s="216"/>
      <c r="N67" s="8"/>
      <c r="O67" s="62"/>
      <c r="P67" s="18"/>
      <c r="Q67" s="62"/>
      <c r="R67" s="18"/>
      <c r="S67" s="62"/>
      <c r="T67" s="18"/>
      <c r="U67" s="18"/>
      <c r="V67" s="18"/>
      <c r="W67" s="62"/>
      <c r="X67" s="18"/>
      <c r="Y67" s="62"/>
      <c r="Z67" s="25"/>
      <c r="AA67" s="8"/>
      <c r="AB67" s="8"/>
      <c r="AC67" s="8"/>
      <c r="AD67" s="8"/>
      <c r="AE67" s="8"/>
      <c r="AF67" s="74"/>
      <c r="AG67" s="167"/>
      <c r="AH67" s="73"/>
      <c r="AI67" s="8"/>
      <c r="AJ67" s="8"/>
      <c r="AK67" s="8"/>
      <c r="AL67" s="8"/>
      <c r="AM67" s="74"/>
      <c r="AN67" s="189"/>
      <c r="AO67" s="117"/>
      <c r="AP67" s="116"/>
      <c r="AQ67" s="924"/>
      <c r="AR67" s="98"/>
    </row>
    <row r="68" spans="2:47" ht="69.45" customHeight="1">
      <c r="B68" s="73"/>
      <c r="C68" s="869" t="s">
        <v>1108</v>
      </c>
      <c r="D68" s="870"/>
      <c r="E68" s="870"/>
      <c r="F68" s="871"/>
      <c r="G68" s="74"/>
      <c r="H68" s="167"/>
      <c r="I68" s="73"/>
      <c r="J68" s="793">
        <v>4.2</v>
      </c>
      <c r="K68" s="890" t="s">
        <v>953</v>
      </c>
      <c r="L68" s="890"/>
      <c r="M68" s="890"/>
      <c r="N68" s="233"/>
      <c r="O68" s="595" t="s">
        <v>951</v>
      </c>
      <c r="P68" s="595"/>
      <c r="Q68" s="595"/>
      <c r="R68" s="595"/>
      <c r="S68" s="595"/>
      <c r="T68" s="595"/>
      <c r="U68" s="595"/>
      <c r="V68" s="595"/>
      <c r="W68" s="595"/>
      <c r="X68" s="595"/>
      <c r="Y68" s="595"/>
      <c r="Z68" s="176" t="b">
        <v>0</v>
      </c>
      <c r="AA68" s="226"/>
      <c r="AB68" s="920" t="s">
        <v>60</v>
      </c>
      <c r="AC68" s="624"/>
      <c r="AD68" s="624"/>
      <c r="AE68" s="625"/>
      <c r="AF68" s="71"/>
      <c r="AG68" s="166"/>
      <c r="AH68" s="69"/>
      <c r="AI68" s="911" t="str" cm="1">
        <f t="array" ref="AI68">IF(OR(AO68:AO72),
    IF(AO72, Feedback_List!B56,
        IF(AND(AO68, AO69, AO70, AO71), "",
            _xlfn.TEXTJOIN(CHAR(10), TRUE,
                AT68,
                _xlfn._xlws.FILTER(AU68:AU71, NOT(AO68:AO71)))
        )
    ),
    "")</f>
        <v/>
      </c>
      <c r="AJ68" s="912"/>
      <c r="AK68" s="912"/>
      <c r="AL68" s="913"/>
      <c r="AM68" s="70"/>
      <c r="AO68" s="117">
        <f t="shared" ref="AO68:AO73" si="8">IF(Z68, 1, 0)</f>
        <v>0</v>
      </c>
      <c r="AP68" s="116">
        <f>IF(AO68,1,0)</f>
        <v>0</v>
      </c>
      <c r="AQ68" s="924"/>
      <c r="AR68" s="98"/>
      <c r="AT68" s="114" t="s">
        <v>578</v>
      </c>
      <c r="AU68" s="118" t="s">
        <v>579</v>
      </c>
    </row>
    <row r="69" spans="2:47" ht="69.45" customHeight="1">
      <c r="B69" s="73"/>
      <c r="C69" s="872"/>
      <c r="D69" s="873"/>
      <c r="E69" s="873"/>
      <c r="F69" s="874"/>
      <c r="G69" s="74"/>
      <c r="H69" s="167"/>
      <c r="I69" s="73"/>
      <c r="J69" s="793"/>
      <c r="K69" s="890"/>
      <c r="L69" s="890"/>
      <c r="M69" s="890"/>
      <c r="N69" s="233"/>
      <c r="O69" s="843" t="s">
        <v>243</v>
      </c>
      <c r="P69" s="843"/>
      <c r="Q69" s="843"/>
      <c r="R69" s="843"/>
      <c r="S69" s="843"/>
      <c r="T69" s="843"/>
      <c r="U69" s="843"/>
      <c r="V69" s="843"/>
      <c r="W69" s="843"/>
      <c r="X69" s="843"/>
      <c r="Y69" s="843"/>
      <c r="Z69" s="176" t="b">
        <v>0</v>
      </c>
      <c r="AA69" s="226"/>
      <c r="AB69" s="921"/>
      <c r="AC69" s="645"/>
      <c r="AD69" s="645"/>
      <c r="AE69" s="646"/>
      <c r="AF69" s="71"/>
      <c r="AG69" s="166"/>
      <c r="AH69" s="69"/>
      <c r="AI69" s="914"/>
      <c r="AJ69" s="915"/>
      <c r="AK69" s="915"/>
      <c r="AL69" s="916"/>
      <c r="AM69" s="70"/>
      <c r="AO69" s="117">
        <f t="shared" si="8"/>
        <v>0</v>
      </c>
      <c r="AP69" s="116">
        <f>IF(AO69,1,0)</f>
        <v>0</v>
      </c>
      <c r="AQ69" s="924"/>
      <c r="AR69" s="98"/>
      <c r="AU69" s="118" t="s">
        <v>580</v>
      </c>
    </row>
    <row r="70" spans="2:47" ht="69.45" customHeight="1">
      <c r="B70" s="73"/>
      <c r="C70" s="872"/>
      <c r="D70" s="873"/>
      <c r="E70" s="873"/>
      <c r="F70" s="874"/>
      <c r="G70" s="74"/>
      <c r="H70" s="167"/>
      <c r="I70" s="73"/>
      <c r="J70" s="793"/>
      <c r="K70" s="890"/>
      <c r="L70" s="890"/>
      <c r="M70" s="890"/>
      <c r="N70" s="233"/>
      <c r="O70" s="595" t="s">
        <v>952</v>
      </c>
      <c r="P70" s="595"/>
      <c r="Q70" s="595"/>
      <c r="R70" s="595"/>
      <c r="S70" s="595"/>
      <c r="T70" s="595"/>
      <c r="U70" s="595"/>
      <c r="V70" s="595"/>
      <c r="W70" s="595"/>
      <c r="X70" s="595"/>
      <c r="Y70" s="595"/>
      <c r="Z70" s="176" t="b">
        <v>0</v>
      </c>
      <c r="AA70" s="226"/>
      <c r="AB70" s="921"/>
      <c r="AC70" s="645"/>
      <c r="AD70" s="645"/>
      <c r="AE70" s="646"/>
      <c r="AF70" s="71"/>
      <c r="AG70" s="166"/>
      <c r="AH70" s="72"/>
      <c r="AI70" s="914"/>
      <c r="AJ70" s="915"/>
      <c r="AK70" s="915"/>
      <c r="AL70" s="916"/>
      <c r="AM70" s="71"/>
      <c r="AO70" s="117">
        <f t="shared" si="8"/>
        <v>0</v>
      </c>
      <c r="AP70" s="116">
        <f>IF(AO70,1,0)</f>
        <v>0</v>
      </c>
      <c r="AQ70" s="924"/>
      <c r="AR70" s="98"/>
      <c r="AU70" s="118" t="s">
        <v>581</v>
      </c>
    </row>
    <row r="71" spans="2:47" ht="69.45" customHeight="1">
      <c r="B71" s="73"/>
      <c r="C71" s="872"/>
      <c r="D71" s="873"/>
      <c r="E71" s="873"/>
      <c r="F71" s="874"/>
      <c r="G71" s="74"/>
      <c r="H71" s="167"/>
      <c r="I71" s="73"/>
      <c r="J71" s="793"/>
      <c r="K71" s="890"/>
      <c r="L71" s="890"/>
      <c r="M71" s="890"/>
      <c r="N71" s="233"/>
      <c r="O71" s="579" t="s">
        <v>722</v>
      </c>
      <c r="P71" s="580"/>
      <c r="Q71" s="580"/>
      <c r="R71" s="580"/>
      <c r="S71" s="580"/>
      <c r="T71" s="580"/>
      <c r="U71" s="580"/>
      <c r="V71" s="580"/>
      <c r="W71" s="580"/>
      <c r="X71" s="580"/>
      <c r="Y71" s="581"/>
      <c r="Z71" s="176" t="b">
        <v>0</v>
      </c>
      <c r="AA71" s="226"/>
      <c r="AB71" s="921"/>
      <c r="AC71" s="645"/>
      <c r="AD71" s="645"/>
      <c r="AE71" s="646"/>
      <c r="AF71" s="71"/>
      <c r="AG71" s="166"/>
      <c r="AH71" s="72"/>
      <c r="AI71" s="914"/>
      <c r="AJ71" s="915"/>
      <c r="AK71" s="915"/>
      <c r="AL71" s="916"/>
      <c r="AM71" s="71"/>
      <c r="AO71" s="117">
        <f t="shared" si="8"/>
        <v>0</v>
      </c>
      <c r="AP71" s="116"/>
      <c r="AQ71" s="924"/>
      <c r="AR71" s="98"/>
      <c r="AU71" s="111" t="s">
        <v>1074</v>
      </c>
    </row>
    <row r="72" spans="2:47" ht="69.45" customHeight="1">
      <c r="B72" s="73"/>
      <c r="C72" s="872"/>
      <c r="D72" s="873"/>
      <c r="E72" s="873"/>
      <c r="F72" s="874"/>
      <c r="G72" s="74"/>
      <c r="H72" s="167"/>
      <c r="I72" s="73"/>
      <c r="J72" s="793"/>
      <c r="K72" s="890"/>
      <c r="L72" s="890"/>
      <c r="M72" s="890"/>
      <c r="N72" s="233"/>
      <c r="O72" s="579" t="s">
        <v>724</v>
      </c>
      <c r="P72" s="580"/>
      <c r="Q72" s="580"/>
      <c r="R72" s="580"/>
      <c r="S72" s="580"/>
      <c r="T72" s="580"/>
      <c r="U72" s="580"/>
      <c r="V72" s="580"/>
      <c r="W72" s="580"/>
      <c r="X72" s="580"/>
      <c r="Y72" s="581"/>
      <c r="Z72" s="176" t="b">
        <v>0</v>
      </c>
      <c r="AA72" s="226"/>
      <c r="AB72" s="921"/>
      <c r="AC72" s="645"/>
      <c r="AD72" s="645"/>
      <c r="AE72" s="646"/>
      <c r="AF72" s="71"/>
      <c r="AG72" s="166"/>
      <c r="AH72" s="72"/>
      <c r="AI72" s="914"/>
      <c r="AJ72" s="915"/>
      <c r="AK72" s="915"/>
      <c r="AL72" s="916"/>
      <c r="AM72" s="71"/>
      <c r="AO72" s="117">
        <f t="shared" si="8"/>
        <v>0</v>
      </c>
      <c r="AP72" s="116"/>
      <c r="AQ72" s="924"/>
      <c r="AR72" s="98"/>
    </row>
    <row r="73" spans="2:47" ht="69.45" customHeight="1">
      <c r="B73" s="73"/>
      <c r="C73" s="875"/>
      <c r="D73" s="876"/>
      <c r="E73" s="876"/>
      <c r="F73" s="877"/>
      <c r="G73" s="74"/>
      <c r="H73" s="167"/>
      <c r="I73" s="73"/>
      <c r="J73" s="793"/>
      <c r="K73" s="890"/>
      <c r="L73" s="890"/>
      <c r="M73" s="890"/>
      <c r="N73" s="229"/>
      <c r="O73" s="843" t="s">
        <v>171</v>
      </c>
      <c r="P73" s="843"/>
      <c r="Q73" s="843"/>
      <c r="R73" s="843"/>
      <c r="S73" s="843"/>
      <c r="T73" s="843"/>
      <c r="U73" s="843"/>
      <c r="V73" s="843"/>
      <c r="W73" s="843"/>
      <c r="X73" s="843"/>
      <c r="Y73" s="843"/>
      <c r="Z73" s="176" t="b">
        <v>0</v>
      </c>
      <c r="AA73" s="8"/>
      <c r="AB73" s="922"/>
      <c r="AC73" s="648"/>
      <c r="AD73" s="648"/>
      <c r="AE73" s="649"/>
      <c r="AF73" s="74"/>
      <c r="AG73" s="166"/>
      <c r="AH73" s="72"/>
      <c r="AI73" s="917"/>
      <c r="AJ73" s="918"/>
      <c r="AK73" s="918"/>
      <c r="AL73" s="919"/>
      <c r="AM73" s="71"/>
      <c r="AO73" s="117">
        <f t="shared" si="8"/>
        <v>0</v>
      </c>
      <c r="AP73" s="116">
        <f>IF(AO73,1,0)</f>
        <v>0</v>
      </c>
      <c r="AQ73" s="924"/>
      <c r="AR73" s="98"/>
    </row>
    <row r="74" spans="2:47">
      <c r="B74" s="73"/>
      <c r="C74" s="8"/>
      <c r="D74" s="8"/>
      <c r="E74" s="8"/>
      <c r="F74" s="8"/>
      <c r="G74" s="74"/>
      <c r="H74" s="167"/>
      <c r="I74" s="73"/>
      <c r="J74" s="28"/>
      <c r="K74" s="209"/>
      <c r="L74" s="216"/>
      <c r="M74" s="216"/>
      <c r="N74" s="8"/>
      <c r="O74" s="62"/>
      <c r="P74" s="18"/>
      <c r="Q74" s="62"/>
      <c r="R74" s="18"/>
      <c r="S74" s="62"/>
      <c r="T74" s="18"/>
      <c r="U74" s="18"/>
      <c r="V74" s="18"/>
      <c r="W74" s="62"/>
      <c r="X74" s="18"/>
      <c r="Y74" s="62"/>
      <c r="Z74" s="25"/>
      <c r="AA74" s="8"/>
      <c r="AB74" s="8"/>
      <c r="AC74" s="8"/>
      <c r="AD74" s="8"/>
      <c r="AE74" s="8"/>
      <c r="AF74" s="74"/>
      <c r="AG74" s="167"/>
      <c r="AH74" s="73"/>
      <c r="AI74" s="8"/>
      <c r="AJ74" s="8"/>
      <c r="AK74" s="8"/>
      <c r="AL74" s="8"/>
      <c r="AM74" s="74"/>
      <c r="AN74" s="189"/>
      <c r="AO74" s="117"/>
      <c r="AP74" s="116"/>
      <c r="AQ74" s="924"/>
      <c r="AR74" s="98"/>
    </row>
    <row r="75" spans="2:47" ht="60.45" customHeight="1">
      <c r="B75" s="73"/>
      <c r="C75" s="869" t="s">
        <v>1134</v>
      </c>
      <c r="D75" s="870"/>
      <c r="E75" s="870"/>
      <c r="F75" s="871"/>
      <c r="G75" s="74"/>
      <c r="H75" s="167"/>
      <c r="I75" s="73"/>
      <c r="J75" s="793">
        <v>4.3</v>
      </c>
      <c r="K75" s="890" t="s">
        <v>1096</v>
      </c>
      <c r="L75" s="890"/>
      <c r="M75" s="890"/>
      <c r="N75" s="233"/>
      <c r="O75" s="843" t="s">
        <v>427</v>
      </c>
      <c r="P75" s="843"/>
      <c r="Q75" s="843"/>
      <c r="R75" s="843"/>
      <c r="S75" s="843"/>
      <c r="T75" s="843"/>
      <c r="U75" s="843"/>
      <c r="V75" s="843"/>
      <c r="W75" s="843"/>
      <c r="X75" s="843"/>
      <c r="Y75" s="843"/>
      <c r="Z75" s="176" t="b">
        <v>0</v>
      </c>
      <c r="AA75" s="226"/>
      <c r="AB75" s="619" t="s">
        <v>60</v>
      </c>
      <c r="AC75" s="619"/>
      <c r="AD75" s="619"/>
      <c r="AE75" s="619"/>
      <c r="AF75" s="71"/>
      <c r="AG75" s="166"/>
      <c r="AH75" s="69"/>
      <c r="AI75" s="911" t="str" cm="1">
        <f t="array" ref="AI75">IF(OR(AO75:AO79, AO80),
    IF(AO80, Feedback_List!B57,
        IF(AND(AO75, AO76, AO77, AO78, AO79), "",
            _xlfn.TEXTJOIN(CHAR(10), TRUE,
                AT75,
                _xlfn._xlws.FILTER(AU75:AU79, NOT(AO75:AO79)))
        )
    ),
    "")</f>
        <v/>
      </c>
      <c r="AJ75" s="912"/>
      <c r="AK75" s="912"/>
      <c r="AL75" s="913"/>
      <c r="AM75" s="70"/>
      <c r="AO75" s="117">
        <f t="shared" ref="AO75:AO80" si="9">IF(Z75, 1, 0)</f>
        <v>0</v>
      </c>
      <c r="AP75" s="116">
        <f>IF(AO75,1,0)</f>
        <v>0</v>
      </c>
      <c r="AQ75" s="924"/>
      <c r="AR75" s="98"/>
      <c r="AT75" s="114" t="s">
        <v>582</v>
      </c>
      <c r="AU75" s="118" t="s">
        <v>583</v>
      </c>
    </row>
    <row r="76" spans="2:47" ht="60.45" customHeight="1">
      <c r="B76" s="73"/>
      <c r="C76" s="872"/>
      <c r="D76" s="873"/>
      <c r="E76" s="873"/>
      <c r="F76" s="874"/>
      <c r="G76" s="74"/>
      <c r="H76" s="167"/>
      <c r="I76" s="73"/>
      <c r="J76" s="793"/>
      <c r="K76" s="890"/>
      <c r="L76" s="890"/>
      <c r="M76" s="890"/>
      <c r="N76" s="233"/>
      <c r="O76" s="843" t="s">
        <v>954</v>
      </c>
      <c r="P76" s="843"/>
      <c r="Q76" s="843"/>
      <c r="R76" s="843"/>
      <c r="S76" s="843"/>
      <c r="T76" s="843"/>
      <c r="U76" s="843"/>
      <c r="V76" s="843"/>
      <c r="W76" s="843"/>
      <c r="X76" s="843"/>
      <c r="Y76" s="843"/>
      <c r="Z76" s="176" t="b">
        <v>0</v>
      </c>
      <c r="AA76" s="226"/>
      <c r="AB76" s="619"/>
      <c r="AC76" s="619"/>
      <c r="AD76" s="619"/>
      <c r="AE76" s="619"/>
      <c r="AF76" s="71"/>
      <c r="AG76" s="166"/>
      <c r="AH76" s="69"/>
      <c r="AI76" s="914"/>
      <c r="AJ76" s="915"/>
      <c r="AK76" s="915"/>
      <c r="AL76" s="916"/>
      <c r="AM76" s="70"/>
      <c r="AO76" s="117">
        <f t="shared" si="9"/>
        <v>0</v>
      </c>
      <c r="AP76" s="116">
        <f>IF(AO76,1,0)</f>
        <v>0</v>
      </c>
      <c r="AQ76" s="924"/>
      <c r="AR76" s="98"/>
      <c r="AU76" s="118" t="s">
        <v>584</v>
      </c>
    </row>
    <row r="77" spans="2:47" ht="60.45" customHeight="1">
      <c r="B77" s="73"/>
      <c r="C77" s="872"/>
      <c r="D77" s="873"/>
      <c r="E77" s="873"/>
      <c r="F77" s="874"/>
      <c r="G77" s="74"/>
      <c r="H77" s="167"/>
      <c r="I77" s="73"/>
      <c r="J77" s="793"/>
      <c r="K77" s="890"/>
      <c r="L77" s="890"/>
      <c r="M77" s="890"/>
      <c r="N77" s="233"/>
      <c r="O77" s="843" t="s">
        <v>955</v>
      </c>
      <c r="P77" s="843"/>
      <c r="Q77" s="843"/>
      <c r="R77" s="843"/>
      <c r="S77" s="843"/>
      <c r="T77" s="843"/>
      <c r="U77" s="843"/>
      <c r="V77" s="843"/>
      <c r="W77" s="843"/>
      <c r="X77" s="843"/>
      <c r="Y77" s="843"/>
      <c r="Z77" s="176" t="b">
        <v>0</v>
      </c>
      <c r="AA77" s="226"/>
      <c r="AB77" s="619"/>
      <c r="AC77" s="619"/>
      <c r="AD77" s="619"/>
      <c r="AE77" s="619"/>
      <c r="AF77" s="71"/>
      <c r="AG77" s="166"/>
      <c r="AH77" s="72"/>
      <c r="AI77" s="914"/>
      <c r="AJ77" s="915"/>
      <c r="AK77" s="915"/>
      <c r="AL77" s="916"/>
      <c r="AM77" s="71"/>
      <c r="AO77" s="117">
        <f t="shared" si="9"/>
        <v>0</v>
      </c>
      <c r="AP77" s="116">
        <f>IF(AO77,1,0)</f>
        <v>0</v>
      </c>
      <c r="AQ77" s="924"/>
      <c r="AR77" s="98"/>
      <c r="AU77" s="118" t="s">
        <v>585</v>
      </c>
    </row>
    <row r="78" spans="2:47" ht="60.45" customHeight="1">
      <c r="B78" s="73"/>
      <c r="C78" s="872"/>
      <c r="D78" s="873"/>
      <c r="E78" s="873"/>
      <c r="F78" s="874"/>
      <c r="G78" s="74"/>
      <c r="H78" s="167"/>
      <c r="I78" s="73"/>
      <c r="J78" s="793"/>
      <c r="K78" s="890"/>
      <c r="L78" s="890"/>
      <c r="M78" s="890"/>
      <c r="N78" s="233"/>
      <c r="O78" s="843" t="s">
        <v>244</v>
      </c>
      <c r="P78" s="843"/>
      <c r="Q78" s="843"/>
      <c r="R78" s="843"/>
      <c r="S78" s="843"/>
      <c r="T78" s="843"/>
      <c r="U78" s="843"/>
      <c r="V78" s="843"/>
      <c r="W78" s="843"/>
      <c r="X78" s="843"/>
      <c r="Y78" s="843"/>
      <c r="Z78" s="176" t="b">
        <v>0</v>
      </c>
      <c r="AA78" s="226"/>
      <c r="AB78" s="619"/>
      <c r="AC78" s="619"/>
      <c r="AD78" s="619"/>
      <c r="AE78" s="619"/>
      <c r="AF78" s="71"/>
      <c r="AG78" s="166"/>
      <c r="AH78" s="72"/>
      <c r="AI78" s="914"/>
      <c r="AJ78" s="915"/>
      <c r="AK78" s="915"/>
      <c r="AL78" s="916"/>
      <c r="AM78" s="71"/>
      <c r="AO78" s="117">
        <f t="shared" si="9"/>
        <v>0</v>
      </c>
      <c r="AP78" s="116">
        <f>IF(AO78,1,0)</f>
        <v>0</v>
      </c>
      <c r="AQ78" s="924"/>
      <c r="AR78" s="98"/>
      <c r="AU78" s="118" t="s">
        <v>586</v>
      </c>
    </row>
    <row r="79" spans="2:47" ht="60.45" customHeight="1">
      <c r="B79" s="73"/>
      <c r="C79" s="872"/>
      <c r="D79" s="873"/>
      <c r="E79" s="873"/>
      <c r="F79" s="874"/>
      <c r="G79" s="74"/>
      <c r="H79" s="167"/>
      <c r="I79" s="73"/>
      <c r="J79" s="793"/>
      <c r="K79" s="890"/>
      <c r="L79" s="890"/>
      <c r="M79" s="890"/>
      <c r="N79" s="233"/>
      <c r="O79" s="843" t="s">
        <v>245</v>
      </c>
      <c r="P79" s="843"/>
      <c r="Q79" s="843"/>
      <c r="R79" s="843"/>
      <c r="S79" s="843"/>
      <c r="T79" s="843"/>
      <c r="U79" s="843"/>
      <c r="V79" s="843"/>
      <c r="W79" s="843"/>
      <c r="X79" s="843"/>
      <c r="Y79" s="843"/>
      <c r="Z79" s="176" t="b">
        <v>0</v>
      </c>
      <c r="AA79" s="226"/>
      <c r="AB79" s="619"/>
      <c r="AC79" s="619"/>
      <c r="AD79" s="619"/>
      <c r="AE79" s="619"/>
      <c r="AF79" s="71"/>
      <c r="AG79" s="166"/>
      <c r="AH79" s="72"/>
      <c r="AI79" s="914"/>
      <c r="AJ79" s="915"/>
      <c r="AK79" s="915"/>
      <c r="AL79" s="916"/>
      <c r="AM79" s="71"/>
      <c r="AO79" s="117">
        <f t="shared" si="9"/>
        <v>0</v>
      </c>
      <c r="AP79" s="116">
        <f>IF(AO79,1,0)</f>
        <v>0</v>
      </c>
      <c r="AQ79" s="924"/>
      <c r="AR79" s="98"/>
      <c r="AU79" s="118" t="s">
        <v>587</v>
      </c>
    </row>
    <row r="80" spans="2:47" ht="60.45" customHeight="1">
      <c r="B80" s="73"/>
      <c r="C80" s="872"/>
      <c r="D80" s="873"/>
      <c r="E80" s="873"/>
      <c r="F80" s="874"/>
      <c r="G80" s="74"/>
      <c r="H80" s="167"/>
      <c r="I80" s="73"/>
      <c r="J80" s="793"/>
      <c r="K80" s="890"/>
      <c r="L80" s="890"/>
      <c r="M80" s="890"/>
      <c r="N80" s="233"/>
      <c r="O80" s="629" t="s">
        <v>466</v>
      </c>
      <c r="P80" s="630"/>
      <c r="Q80" s="630"/>
      <c r="R80" s="630"/>
      <c r="S80" s="630"/>
      <c r="T80" s="630"/>
      <c r="U80" s="630"/>
      <c r="V80" s="630"/>
      <c r="W80" s="630"/>
      <c r="X80" s="630"/>
      <c r="Y80" s="631"/>
      <c r="Z80" s="176" t="b">
        <v>0</v>
      </c>
      <c r="AA80" s="226"/>
      <c r="AB80" s="619"/>
      <c r="AC80" s="619"/>
      <c r="AD80" s="619"/>
      <c r="AE80" s="619"/>
      <c r="AF80" s="71"/>
      <c r="AG80" s="166"/>
      <c r="AH80" s="72"/>
      <c r="AI80" s="914"/>
      <c r="AJ80" s="915"/>
      <c r="AK80" s="915"/>
      <c r="AL80" s="916"/>
      <c r="AM80" s="71"/>
      <c r="AO80" s="117">
        <f t="shared" si="9"/>
        <v>0</v>
      </c>
      <c r="AP80" s="116"/>
      <c r="AQ80" s="924"/>
      <c r="AR80" s="98"/>
    </row>
    <row r="81" spans="2:47" ht="60.45" customHeight="1">
      <c r="B81" s="73"/>
      <c r="C81" s="875"/>
      <c r="D81" s="876"/>
      <c r="E81" s="876"/>
      <c r="F81" s="877"/>
      <c r="G81" s="74"/>
      <c r="H81" s="167"/>
      <c r="I81" s="73"/>
      <c r="J81" s="793"/>
      <c r="K81" s="890"/>
      <c r="L81" s="890"/>
      <c r="M81" s="890"/>
      <c r="N81" s="233"/>
      <c r="O81" s="843" t="s">
        <v>171</v>
      </c>
      <c r="P81" s="843"/>
      <c r="Q81" s="843"/>
      <c r="R81" s="843"/>
      <c r="S81" s="843"/>
      <c r="T81" s="843"/>
      <c r="U81" s="843"/>
      <c r="V81" s="843"/>
      <c r="W81" s="843"/>
      <c r="X81" s="843"/>
      <c r="Y81" s="843"/>
      <c r="Z81" s="176" t="b">
        <v>0</v>
      </c>
      <c r="AA81" s="8"/>
      <c r="AB81" s="619"/>
      <c r="AC81" s="619"/>
      <c r="AD81" s="619"/>
      <c r="AE81" s="619"/>
      <c r="AF81" s="74"/>
      <c r="AG81" s="166"/>
      <c r="AH81" s="72"/>
      <c r="AI81" s="914"/>
      <c r="AJ81" s="915"/>
      <c r="AK81" s="915"/>
      <c r="AL81" s="916"/>
      <c r="AM81" s="71"/>
      <c r="AN81" s="189"/>
      <c r="AO81" s="106">
        <f>IF(Z81, 1, 0)</f>
        <v>0</v>
      </c>
      <c r="AP81" s="116">
        <f>IF(AO81,1,0)</f>
        <v>0</v>
      </c>
      <c r="AQ81" s="925"/>
      <c r="AR81" s="98"/>
    </row>
    <row r="82" spans="2:47" ht="18" thickBot="1">
      <c r="B82" s="73"/>
      <c r="C82" s="8"/>
      <c r="D82" s="8"/>
      <c r="E82" s="8"/>
      <c r="F82" s="8"/>
      <c r="G82" s="74"/>
      <c r="H82" s="167"/>
      <c r="I82" s="73"/>
      <c r="J82" s="28"/>
      <c r="K82" s="209"/>
      <c r="L82" s="216"/>
      <c r="M82" s="216"/>
      <c r="N82" s="8"/>
      <c r="O82" s="62"/>
      <c r="P82" s="18"/>
      <c r="Q82" s="62"/>
      <c r="R82" s="18"/>
      <c r="S82" s="62"/>
      <c r="T82" s="18"/>
      <c r="U82" s="18"/>
      <c r="V82" s="18"/>
      <c r="W82" s="62"/>
      <c r="X82" s="18"/>
      <c r="Y82" s="62"/>
      <c r="Z82" s="25"/>
      <c r="AA82" s="8"/>
      <c r="AB82" s="8"/>
      <c r="AC82" s="8"/>
      <c r="AD82" s="8"/>
      <c r="AE82" s="8"/>
      <c r="AF82" s="74"/>
      <c r="AG82" s="167"/>
      <c r="AH82" s="73"/>
      <c r="AI82" s="914"/>
      <c r="AJ82" s="915"/>
      <c r="AK82" s="915"/>
      <c r="AL82" s="916"/>
      <c r="AM82" s="74"/>
      <c r="AN82" s="189"/>
      <c r="AO82" s="123">
        <f>SUM(AO59:AO80)</f>
        <v>0</v>
      </c>
      <c r="AP82" s="123">
        <f>SUM(AP59:AP80)</f>
        <v>0</v>
      </c>
      <c r="AQ82" s="248"/>
      <c r="AR82" s="111"/>
    </row>
    <row r="83" spans="2:47" ht="18" thickTop="1">
      <c r="B83" s="73"/>
      <c r="C83" s="8"/>
      <c r="D83" s="8"/>
      <c r="E83" s="8"/>
      <c r="F83" s="8"/>
      <c r="G83" s="74"/>
      <c r="H83" s="167"/>
      <c r="I83" s="73"/>
      <c r="J83" s="28" t="s">
        <v>429</v>
      </c>
      <c r="K83" s="209" t="s">
        <v>635</v>
      </c>
      <c r="L83" s="216"/>
      <c r="M83" s="216"/>
      <c r="N83" s="8"/>
      <c r="O83" s="62"/>
      <c r="P83" s="18"/>
      <c r="Q83" s="62"/>
      <c r="R83" s="18"/>
      <c r="S83" s="62"/>
      <c r="T83" s="18"/>
      <c r="U83" s="18"/>
      <c r="V83" s="18"/>
      <c r="W83" s="62"/>
      <c r="X83" s="18"/>
      <c r="Y83" s="62"/>
      <c r="Z83" s="25"/>
      <c r="AA83" s="8"/>
      <c r="AB83" s="8"/>
      <c r="AC83" s="8"/>
      <c r="AD83" s="8"/>
      <c r="AE83" s="8"/>
      <c r="AF83" s="74"/>
      <c r="AG83" s="167"/>
      <c r="AH83" s="73"/>
      <c r="AI83" s="917"/>
      <c r="AJ83" s="918"/>
      <c r="AK83" s="918"/>
      <c r="AL83" s="919"/>
      <c r="AM83" s="74"/>
      <c r="AN83" s="189"/>
      <c r="AO83" s="98"/>
      <c r="AP83" s="98"/>
      <c r="AQ83" s="111"/>
      <c r="AR83" s="111"/>
    </row>
    <row r="84" spans="2:47">
      <c r="B84" s="73"/>
      <c r="C84" s="8"/>
      <c r="D84" s="8"/>
      <c r="E84" s="8"/>
      <c r="F84" s="8"/>
      <c r="G84" s="74"/>
      <c r="H84" s="167"/>
      <c r="I84" s="73"/>
      <c r="J84" s="28"/>
      <c r="K84" s="209"/>
      <c r="L84" s="216"/>
      <c r="M84" s="216"/>
      <c r="N84" s="8"/>
      <c r="O84" s="62"/>
      <c r="P84" s="18"/>
      <c r="Q84" s="62"/>
      <c r="R84" s="18"/>
      <c r="S84" s="62"/>
      <c r="T84" s="18"/>
      <c r="U84" s="18"/>
      <c r="V84" s="18"/>
      <c r="W84" s="62"/>
      <c r="X84" s="18"/>
      <c r="Y84" s="62"/>
      <c r="Z84" s="25"/>
      <c r="AA84" s="8"/>
      <c r="AB84" s="8"/>
      <c r="AC84" s="8"/>
      <c r="AD84" s="8"/>
      <c r="AE84" s="8"/>
      <c r="AF84" s="74"/>
      <c r="AG84" s="167"/>
      <c r="AH84" s="73"/>
      <c r="AI84" s="8"/>
      <c r="AJ84" s="8"/>
      <c r="AK84" s="8"/>
      <c r="AL84" s="8"/>
      <c r="AM84" s="74"/>
      <c r="AN84" s="189"/>
      <c r="AO84" s="98"/>
      <c r="AP84" s="98"/>
      <c r="AQ84" s="111"/>
      <c r="AR84" s="111"/>
    </row>
    <row r="85" spans="2:47" ht="61.95" customHeight="1">
      <c r="B85" s="73"/>
      <c r="C85" s="878" t="s">
        <v>1136</v>
      </c>
      <c r="D85" s="879"/>
      <c r="E85" s="879"/>
      <c r="F85" s="880"/>
      <c r="G85" s="74"/>
      <c r="H85" s="167"/>
      <c r="I85" s="73"/>
      <c r="J85" s="887">
        <v>5.0999999999999996</v>
      </c>
      <c r="K85" s="710" t="s">
        <v>430</v>
      </c>
      <c r="L85" s="711"/>
      <c r="M85" s="712"/>
      <c r="N85" s="8"/>
      <c r="O85" s="629" t="s">
        <v>956</v>
      </c>
      <c r="P85" s="630"/>
      <c r="Q85" s="630"/>
      <c r="R85" s="630"/>
      <c r="S85" s="630"/>
      <c r="T85" s="630"/>
      <c r="U85" s="630"/>
      <c r="V85" s="630"/>
      <c r="W85" s="630"/>
      <c r="X85" s="630"/>
      <c r="Y85" s="631"/>
      <c r="Z85" s="176" t="b">
        <v>0</v>
      </c>
      <c r="AA85" s="8"/>
      <c r="AB85" s="827" t="s">
        <v>60</v>
      </c>
      <c r="AC85" s="828"/>
      <c r="AD85" s="828"/>
      <c r="AE85" s="829"/>
      <c r="AF85" s="74"/>
      <c r="AG85" s="167"/>
      <c r="AH85" s="73"/>
      <c r="AI85" s="902" t="str">
        <f>IF(AO88,Feedback_List!B59, " ")</f>
        <v xml:space="preserve"> </v>
      </c>
      <c r="AJ85" s="903"/>
      <c r="AK85" s="903"/>
      <c r="AL85" s="904"/>
      <c r="AM85" s="74"/>
      <c r="AN85" s="189"/>
      <c r="AO85" s="177">
        <f>IF(Z85, 1, 0)</f>
        <v>0</v>
      </c>
      <c r="AP85" s="178">
        <f>IF(AO85,5,IF(AO88,0,0))</f>
        <v>0</v>
      </c>
      <c r="AQ85" s="733">
        <f>SUM(AP85:AP96)*AZ11</f>
        <v>0</v>
      </c>
      <c r="AR85" s="98"/>
    </row>
    <row r="86" spans="2:47" ht="61.95" customHeight="1">
      <c r="B86" s="73"/>
      <c r="C86" s="881"/>
      <c r="D86" s="882"/>
      <c r="E86" s="882"/>
      <c r="F86" s="883"/>
      <c r="G86" s="74"/>
      <c r="H86" s="167"/>
      <c r="I86" s="73"/>
      <c r="J86" s="888"/>
      <c r="K86" s="713"/>
      <c r="L86" s="714"/>
      <c r="M86" s="715"/>
      <c r="N86" s="8"/>
      <c r="O86" s="629" t="s">
        <v>957</v>
      </c>
      <c r="P86" s="630"/>
      <c r="Q86" s="630"/>
      <c r="R86" s="630"/>
      <c r="S86" s="630"/>
      <c r="T86" s="630"/>
      <c r="U86" s="630"/>
      <c r="V86" s="630"/>
      <c r="W86" s="630"/>
      <c r="X86" s="630"/>
      <c r="Y86" s="631"/>
      <c r="Z86" s="230" t="b">
        <v>0</v>
      </c>
      <c r="AA86" s="8"/>
      <c r="AB86" s="830"/>
      <c r="AC86" s="831"/>
      <c r="AD86" s="831"/>
      <c r="AE86" s="832"/>
      <c r="AF86" s="74"/>
      <c r="AG86" s="167"/>
      <c r="AH86" s="73"/>
      <c r="AI86" s="905"/>
      <c r="AJ86" s="906"/>
      <c r="AK86" s="906"/>
      <c r="AL86" s="907"/>
      <c r="AM86" s="74"/>
      <c r="AN86" s="189"/>
      <c r="AO86" s="117">
        <f t="shared" ref="AO86:AO87" si="10">IF(Z86, 1, 0)</f>
        <v>0</v>
      </c>
      <c r="AP86" s="116"/>
      <c r="AQ86" s="734"/>
      <c r="AR86" s="98"/>
    </row>
    <row r="87" spans="2:47" ht="61.95" customHeight="1">
      <c r="B87" s="73"/>
      <c r="C87" s="881"/>
      <c r="D87" s="882"/>
      <c r="E87" s="882"/>
      <c r="F87" s="883"/>
      <c r="G87" s="74"/>
      <c r="H87" s="167"/>
      <c r="I87" s="73"/>
      <c r="J87" s="888"/>
      <c r="K87" s="713"/>
      <c r="L87" s="714"/>
      <c r="M87" s="715"/>
      <c r="N87" s="8"/>
      <c r="O87" s="629" t="s">
        <v>958</v>
      </c>
      <c r="P87" s="630"/>
      <c r="Q87" s="630"/>
      <c r="R87" s="630"/>
      <c r="S87" s="630"/>
      <c r="T87" s="630"/>
      <c r="U87" s="630"/>
      <c r="V87" s="630"/>
      <c r="W87" s="630"/>
      <c r="X87" s="630"/>
      <c r="Y87" s="631"/>
      <c r="Z87" s="230" t="b">
        <v>0</v>
      </c>
      <c r="AA87" s="8"/>
      <c r="AB87" s="830"/>
      <c r="AC87" s="831"/>
      <c r="AD87" s="831"/>
      <c r="AE87" s="832"/>
      <c r="AF87" s="74"/>
      <c r="AG87" s="167"/>
      <c r="AH87" s="73"/>
      <c r="AI87" s="905"/>
      <c r="AJ87" s="906"/>
      <c r="AK87" s="906"/>
      <c r="AL87" s="907"/>
      <c r="AM87" s="74"/>
      <c r="AN87" s="189"/>
      <c r="AO87" s="117">
        <f t="shared" si="10"/>
        <v>0</v>
      </c>
      <c r="AP87" s="116"/>
      <c r="AQ87" s="734"/>
      <c r="AR87" s="98"/>
    </row>
    <row r="88" spans="2:47" ht="61.95" customHeight="1">
      <c r="B88" s="73"/>
      <c r="C88" s="881"/>
      <c r="D88" s="882"/>
      <c r="E88" s="882"/>
      <c r="F88" s="883"/>
      <c r="G88" s="74"/>
      <c r="H88" s="167"/>
      <c r="I88" s="73"/>
      <c r="J88" s="889"/>
      <c r="K88" s="716"/>
      <c r="L88" s="717"/>
      <c r="M88" s="718"/>
      <c r="N88" s="8"/>
      <c r="O88" s="838" t="s">
        <v>959</v>
      </c>
      <c r="P88" s="891"/>
      <c r="Q88" s="891"/>
      <c r="R88" s="891"/>
      <c r="S88" s="891"/>
      <c r="T88" s="891"/>
      <c r="U88" s="891"/>
      <c r="V88" s="891"/>
      <c r="W88" s="891"/>
      <c r="X88" s="891"/>
      <c r="Y88" s="839"/>
      <c r="Z88" s="230" t="b">
        <v>0</v>
      </c>
      <c r="AA88" s="8"/>
      <c r="AB88" s="833"/>
      <c r="AC88" s="834"/>
      <c r="AD88" s="834"/>
      <c r="AE88" s="835"/>
      <c r="AF88" s="74"/>
      <c r="AG88" s="167"/>
      <c r="AH88" s="73"/>
      <c r="AI88" s="908"/>
      <c r="AJ88" s="909"/>
      <c r="AK88" s="909"/>
      <c r="AL88" s="910"/>
      <c r="AM88" s="74"/>
      <c r="AN88" s="189"/>
      <c r="AO88" s="117">
        <f>IF(Z88, 1, 0)</f>
        <v>0</v>
      </c>
      <c r="AP88" s="116"/>
      <c r="AQ88" s="734"/>
      <c r="AR88" s="98"/>
    </row>
    <row r="89" spans="2:47" ht="18" customHeight="1">
      <c r="B89" s="73"/>
      <c r="C89" s="881"/>
      <c r="D89" s="882"/>
      <c r="E89" s="882"/>
      <c r="F89" s="883"/>
      <c r="G89" s="74"/>
      <c r="H89" s="167"/>
      <c r="I89" s="73"/>
      <c r="J89" s="231"/>
      <c r="K89" s="231"/>
      <c r="L89" s="231"/>
      <c r="M89" s="231"/>
      <c r="N89" s="8"/>
      <c r="O89" s="62"/>
      <c r="P89" s="62"/>
      <c r="Q89" s="62"/>
      <c r="R89" s="62"/>
      <c r="S89" s="62"/>
      <c r="T89" s="62"/>
      <c r="U89" s="62"/>
      <c r="V89" s="62"/>
      <c r="W89" s="62"/>
      <c r="X89" s="62"/>
      <c r="Y89" s="62"/>
      <c r="Z89" s="25"/>
      <c r="AA89" s="8"/>
      <c r="AB89" s="8"/>
      <c r="AC89" s="8"/>
      <c r="AD89" s="8"/>
      <c r="AE89" s="8"/>
      <c r="AF89" s="74"/>
      <c r="AG89" s="167"/>
      <c r="AH89" s="73"/>
      <c r="AI89" s="8"/>
      <c r="AJ89" s="8"/>
      <c r="AK89" s="8"/>
      <c r="AL89" s="8"/>
      <c r="AM89" s="74"/>
      <c r="AN89" s="189"/>
      <c r="AO89" s="117"/>
      <c r="AP89" s="116"/>
      <c r="AQ89" s="734"/>
      <c r="AR89" s="98"/>
    </row>
    <row r="90" spans="2:47" ht="57.45" customHeight="1">
      <c r="B90" s="73"/>
      <c r="C90" s="881"/>
      <c r="D90" s="882"/>
      <c r="E90" s="882"/>
      <c r="F90" s="883"/>
      <c r="G90" s="74"/>
      <c r="H90" s="167"/>
      <c r="I90" s="73"/>
      <c r="J90" s="887">
        <v>5.2</v>
      </c>
      <c r="K90" s="710" t="s">
        <v>431</v>
      </c>
      <c r="L90" s="711"/>
      <c r="M90" s="712"/>
      <c r="N90" s="8"/>
      <c r="O90" s="843" t="s">
        <v>343</v>
      </c>
      <c r="P90" s="843"/>
      <c r="Q90" s="843"/>
      <c r="R90" s="843"/>
      <c r="S90" s="843"/>
      <c r="T90" s="843"/>
      <c r="U90" s="843"/>
      <c r="V90" s="843"/>
      <c r="W90" s="843"/>
      <c r="X90" s="843"/>
      <c r="Y90" s="843"/>
      <c r="Z90" s="176" t="b">
        <v>0</v>
      </c>
      <c r="AA90" s="8"/>
      <c r="AB90" s="827" t="s">
        <v>60</v>
      </c>
      <c r="AC90" s="828"/>
      <c r="AD90" s="828"/>
      <c r="AE90" s="829"/>
      <c r="AF90" s="74"/>
      <c r="AG90" s="167"/>
      <c r="AH90" s="73"/>
      <c r="AI90" s="902" t="str" cm="1">
        <f t="array" ref="AI90">IF(OR(AO90:AO95),
    IF(AO95, Feedback_List!B60,
        IF(AND(AO90, AO91, AO92, AO93, AO94), "",
            _xlfn.TEXTJOIN(CHAR(10), TRUE,
                AT90,
                _xlfn._xlws.FILTER(AU90:AU94, NOT(AO90:AO94)))
        )
    ),
    "")</f>
        <v/>
      </c>
      <c r="AJ90" s="903"/>
      <c r="AK90" s="903"/>
      <c r="AL90" s="904"/>
      <c r="AM90" s="74"/>
      <c r="AN90" s="189"/>
      <c r="AO90" s="117">
        <f>IF(Z90, 1, 0)</f>
        <v>0</v>
      </c>
      <c r="AP90" s="116">
        <f>IF(AO90,1,0)</f>
        <v>0</v>
      </c>
      <c r="AQ90" s="734"/>
      <c r="AR90" s="98"/>
      <c r="AT90" s="114" t="s">
        <v>588</v>
      </c>
      <c r="AU90" s="118" t="s">
        <v>1075</v>
      </c>
    </row>
    <row r="91" spans="2:47" ht="57.45" customHeight="1">
      <c r="B91" s="73"/>
      <c r="C91" s="881"/>
      <c r="D91" s="882"/>
      <c r="E91" s="882"/>
      <c r="F91" s="883"/>
      <c r="G91" s="74"/>
      <c r="H91" s="167"/>
      <c r="I91" s="73"/>
      <c r="J91" s="888"/>
      <c r="K91" s="713"/>
      <c r="L91" s="714"/>
      <c r="M91" s="715"/>
      <c r="N91" s="8"/>
      <c r="O91" s="629" t="s">
        <v>432</v>
      </c>
      <c r="P91" s="630"/>
      <c r="Q91" s="630"/>
      <c r="R91" s="630"/>
      <c r="S91" s="630"/>
      <c r="T91" s="630"/>
      <c r="U91" s="630"/>
      <c r="V91" s="630"/>
      <c r="W91" s="630"/>
      <c r="X91" s="630"/>
      <c r="Y91" s="631"/>
      <c r="Z91" s="176" t="b">
        <v>0</v>
      </c>
      <c r="AA91" s="8"/>
      <c r="AB91" s="830"/>
      <c r="AC91" s="831"/>
      <c r="AD91" s="831"/>
      <c r="AE91" s="832"/>
      <c r="AF91" s="74"/>
      <c r="AG91" s="167"/>
      <c r="AH91" s="73"/>
      <c r="AI91" s="905"/>
      <c r="AJ91" s="906"/>
      <c r="AK91" s="906"/>
      <c r="AL91" s="907"/>
      <c r="AM91" s="74"/>
      <c r="AN91" s="189"/>
      <c r="AO91" s="117">
        <f t="shared" ref="AO91:AO92" si="11">IF(Z91, 1, 0)</f>
        <v>0</v>
      </c>
      <c r="AP91" s="116">
        <f t="shared" ref="AP91:AP92" si="12">IF(AO91,1,0)</f>
        <v>0</v>
      </c>
      <c r="AQ91" s="734"/>
      <c r="AR91" s="98"/>
      <c r="AT91" s="114"/>
      <c r="AU91" s="118" t="s">
        <v>1076</v>
      </c>
    </row>
    <row r="92" spans="2:47" ht="57.45" customHeight="1">
      <c r="B92" s="73"/>
      <c r="C92" s="881"/>
      <c r="D92" s="882"/>
      <c r="E92" s="882"/>
      <c r="F92" s="883"/>
      <c r="G92" s="74"/>
      <c r="H92" s="167"/>
      <c r="I92" s="73"/>
      <c r="J92" s="888"/>
      <c r="K92" s="713"/>
      <c r="L92" s="714"/>
      <c r="M92" s="715"/>
      <c r="N92" s="8"/>
      <c r="O92" s="629" t="s">
        <v>344</v>
      </c>
      <c r="P92" s="630"/>
      <c r="Q92" s="630"/>
      <c r="R92" s="630"/>
      <c r="S92" s="630"/>
      <c r="T92" s="630"/>
      <c r="U92" s="630"/>
      <c r="V92" s="630"/>
      <c r="W92" s="630"/>
      <c r="X92" s="630"/>
      <c r="Y92" s="631"/>
      <c r="Z92" s="176" t="b">
        <v>0</v>
      </c>
      <c r="AA92" s="8"/>
      <c r="AB92" s="830"/>
      <c r="AC92" s="831"/>
      <c r="AD92" s="831"/>
      <c r="AE92" s="832"/>
      <c r="AF92" s="74"/>
      <c r="AG92" s="167"/>
      <c r="AH92" s="73"/>
      <c r="AI92" s="905"/>
      <c r="AJ92" s="906"/>
      <c r="AK92" s="906"/>
      <c r="AL92" s="907"/>
      <c r="AM92" s="74"/>
      <c r="AN92" s="189"/>
      <c r="AO92" s="117">
        <f t="shared" si="11"/>
        <v>0</v>
      </c>
      <c r="AP92" s="116">
        <f t="shared" si="12"/>
        <v>0</v>
      </c>
      <c r="AQ92" s="734"/>
      <c r="AR92" s="98"/>
      <c r="AT92" s="114"/>
      <c r="AU92" s="118" t="s">
        <v>1077</v>
      </c>
    </row>
    <row r="93" spans="2:47" ht="57.45" customHeight="1">
      <c r="B93" s="73"/>
      <c r="C93" s="881"/>
      <c r="D93" s="882"/>
      <c r="E93" s="882"/>
      <c r="F93" s="883"/>
      <c r="G93" s="74"/>
      <c r="H93" s="167"/>
      <c r="I93" s="73"/>
      <c r="J93" s="888"/>
      <c r="K93" s="713"/>
      <c r="L93" s="714"/>
      <c r="M93" s="715"/>
      <c r="N93" s="8"/>
      <c r="O93" s="843" t="s">
        <v>1003</v>
      </c>
      <c r="P93" s="843"/>
      <c r="Q93" s="843"/>
      <c r="R93" s="843"/>
      <c r="S93" s="843"/>
      <c r="T93" s="843"/>
      <c r="U93" s="843"/>
      <c r="V93" s="843"/>
      <c r="W93" s="843"/>
      <c r="X93" s="843"/>
      <c r="Y93" s="843"/>
      <c r="Z93" s="176" t="b">
        <v>0</v>
      </c>
      <c r="AA93" s="8"/>
      <c r="AB93" s="830"/>
      <c r="AC93" s="831"/>
      <c r="AD93" s="831"/>
      <c r="AE93" s="832"/>
      <c r="AF93" s="74"/>
      <c r="AG93" s="167"/>
      <c r="AH93" s="73"/>
      <c r="AI93" s="905"/>
      <c r="AJ93" s="906"/>
      <c r="AK93" s="906"/>
      <c r="AL93" s="907"/>
      <c r="AM93" s="74"/>
      <c r="AN93" s="189"/>
      <c r="AO93" s="117">
        <f>IF(Z93, 1, 0)</f>
        <v>0</v>
      </c>
      <c r="AP93" s="116">
        <f>IF(AO93,1,0)</f>
        <v>0</v>
      </c>
      <c r="AQ93" s="734"/>
      <c r="AR93" s="98"/>
      <c r="AU93" s="118" t="s">
        <v>1078</v>
      </c>
    </row>
    <row r="94" spans="2:47" ht="57.45" customHeight="1">
      <c r="B94" s="73"/>
      <c r="C94" s="881"/>
      <c r="D94" s="882"/>
      <c r="E94" s="882"/>
      <c r="F94" s="883"/>
      <c r="G94" s="74"/>
      <c r="H94" s="167"/>
      <c r="I94" s="73"/>
      <c r="J94" s="888"/>
      <c r="K94" s="713"/>
      <c r="L94" s="714"/>
      <c r="M94" s="715"/>
      <c r="N94" s="8"/>
      <c r="O94" s="843" t="s">
        <v>1124</v>
      </c>
      <c r="P94" s="843"/>
      <c r="Q94" s="843"/>
      <c r="R94" s="843"/>
      <c r="S94" s="843"/>
      <c r="T94" s="843"/>
      <c r="U94" s="843"/>
      <c r="V94" s="843"/>
      <c r="W94" s="843"/>
      <c r="X94" s="843"/>
      <c r="Y94" s="843"/>
      <c r="Z94" s="176" t="b">
        <v>0</v>
      </c>
      <c r="AA94" s="8"/>
      <c r="AB94" s="830"/>
      <c r="AC94" s="831"/>
      <c r="AD94" s="831"/>
      <c r="AE94" s="832"/>
      <c r="AF94" s="74"/>
      <c r="AG94" s="167"/>
      <c r="AH94" s="73"/>
      <c r="AI94" s="905"/>
      <c r="AJ94" s="906"/>
      <c r="AK94" s="906"/>
      <c r="AL94" s="907"/>
      <c r="AM94" s="74"/>
      <c r="AN94" s="189"/>
      <c r="AO94" s="117">
        <f>IF(Z94, 1, 0)</f>
        <v>0</v>
      </c>
      <c r="AP94" s="116">
        <f>IF(AO94,1,0)</f>
        <v>0</v>
      </c>
      <c r="AQ94" s="734"/>
      <c r="AR94" s="98"/>
      <c r="AU94" s="118" t="s">
        <v>1173</v>
      </c>
    </row>
    <row r="95" spans="2:47" ht="57.45" customHeight="1">
      <c r="B95" s="73"/>
      <c r="C95" s="881"/>
      <c r="D95" s="882"/>
      <c r="E95" s="882"/>
      <c r="F95" s="883"/>
      <c r="G95" s="74"/>
      <c r="H95" s="167"/>
      <c r="I95" s="73"/>
      <c r="J95" s="888"/>
      <c r="K95" s="713"/>
      <c r="L95" s="714"/>
      <c r="M95" s="715"/>
      <c r="N95" s="8"/>
      <c r="O95" s="629" t="s">
        <v>465</v>
      </c>
      <c r="P95" s="630"/>
      <c r="Q95" s="630"/>
      <c r="R95" s="630"/>
      <c r="S95" s="630"/>
      <c r="T95" s="630"/>
      <c r="U95" s="630"/>
      <c r="V95" s="630"/>
      <c r="W95" s="630"/>
      <c r="X95" s="630"/>
      <c r="Y95" s="631"/>
      <c r="Z95" s="176" t="b">
        <v>0</v>
      </c>
      <c r="AA95" s="8"/>
      <c r="AB95" s="830"/>
      <c r="AC95" s="831"/>
      <c r="AD95" s="831"/>
      <c r="AE95" s="832"/>
      <c r="AF95" s="74"/>
      <c r="AG95" s="167"/>
      <c r="AH95" s="73"/>
      <c r="AI95" s="905"/>
      <c r="AJ95" s="906"/>
      <c r="AK95" s="906"/>
      <c r="AL95" s="907"/>
      <c r="AM95" s="74"/>
      <c r="AN95" s="189"/>
      <c r="AO95" s="117">
        <f>IF(Z95, 1, 0)</f>
        <v>0</v>
      </c>
      <c r="AP95" s="116">
        <f t="shared" ref="AP95:AP96" si="13">IF(AO95,1,0)</f>
        <v>0</v>
      </c>
      <c r="AQ95" s="734"/>
      <c r="AR95" s="98"/>
      <c r="AU95" s="118"/>
    </row>
    <row r="96" spans="2:47" ht="57.45" customHeight="1">
      <c r="B96" s="73"/>
      <c r="C96" s="884"/>
      <c r="D96" s="885"/>
      <c r="E96" s="885"/>
      <c r="F96" s="886"/>
      <c r="G96" s="74"/>
      <c r="H96" s="167"/>
      <c r="I96" s="73"/>
      <c r="J96" s="889"/>
      <c r="K96" s="716"/>
      <c r="L96" s="717"/>
      <c r="M96" s="718"/>
      <c r="N96" s="8"/>
      <c r="O96" s="843" t="s">
        <v>252</v>
      </c>
      <c r="P96" s="843"/>
      <c r="Q96" s="843"/>
      <c r="R96" s="843"/>
      <c r="S96" s="843"/>
      <c r="T96" s="843"/>
      <c r="U96" s="843"/>
      <c r="V96" s="843"/>
      <c r="W96" s="843"/>
      <c r="X96" s="843"/>
      <c r="Y96" s="843"/>
      <c r="Z96" s="176" t="b">
        <v>0</v>
      </c>
      <c r="AA96" s="8"/>
      <c r="AB96" s="833"/>
      <c r="AC96" s="834"/>
      <c r="AD96" s="834"/>
      <c r="AE96" s="835"/>
      <c r="AF96" s="74"/>
      <c r="AG96" s="167"/>
      <c r="AH96" s="73"/>
      <c r="AI96" s="905"/>
      <c r="AJ96" s="906"/>
      <c r="AK96" s="906"/>
      <c r="AL96" s="907"/>
      <c r="AM96" s="74"/>
      <c r="AN96" s="189"/>
      <c r="AO96" s="117">
        <f>IF(Z96, 1, 0)</f>
        <v>0</v>
      </c>
      <c r="AP96" s="116">
        <f t="shared" si="13"/>
        <v>0</v>
      </c>
      <c r="AQ96" s="735"/>
      <c r="AR96" s="98"/>
      <c r="AU96" s="118"/>
    </row>
    <row r="97" spans="2:44" ht="18" thickBot="1">
      <c r="B97" s="73"/>
      <c r="C97" s="8"/>
      <c r="D97" s="8"/>
      <c r="E97" s="8"/>
      <c r="F97" s="8"/>
      <c r="G97" s="74"/>
      <c r="H97" s="167"/>
      <c r="I97" s="73"/>
      <c r="J97" s="65"/>
      <c r="K97" s="216"/>
      <c r="L97" s="216"/>
      <c r="M97" s="216"/>
      <c r="N97" s="8"/>
      <c r="O97" s="62"/>
      <c r="P97" s="18"/>
      <c r="Q97" s="62"/>
      <c r="R97" s="18"/>
      <c r="S97" s="62"/>
      <c r="T97" s="18"/>
      <c r="U97" s="18"/>
      <c r="V97" s="18"/>
      <c r="W97" s="62"/>
      <c r="X97" s="18"/>
      <c r="Y97" s="62"/>
      <c r="Z97" s="25"/>
      <c r="AA97" s="8"/>
      <c r="AB97" s="8"/>
      <c r="AC97" s="8"/>
      <c r="AD97" s="8"/>
      <c r="AE97" s="8"/>
      <c r="AF97" s="74"/>
      <c r="AG97" s="167"/>
      <c r="AH97" s="73"/>
      <c r="AI97" s="905"/>
      <c r="AJ97" s="906"/>
      <c r="AK97" s="906"/>
      <c r="AL97" s="907"/>
      <c r="AM97" s="74"/>
      <c r="AN97" s="189"/>
      <c r="AO97" s="123">
        <f>SUM(AO85:AO96)</f>
        <v>0</v>
      </c>
      <c r="AP97" s="123">
        <f>SUM(AP85:AP96)</f>
        <v>0</v>
      </c>
      <c r="AQ97" s="123"/>
      <c r="AR97" s="98"/>
    </row>
    <row r="98" spans="2:44" ht="21.6" thickTop="1">
      <c r="B98" s="73"/>
      <c r="C98" s="8"/>
      <c r="D98" s="8"/>
      <c r="E98" s="8"/>
      <c r="F98" s="8"/>
      <c r="G98" s="74"/>
      <c r="H98" s="167"/>
      <c r="I98" s="73"/>
      <c r="J98" s="855" t="s">
        <v>256</v>
      </c>
      <c r="K98" s="856"/>
      <c r="L98" s="856"/>
      <c r="M98" s="856"/>
      <c r="N98" s="856"/>
      <c r="O98" s="856"/>
      <c r="P98" s="856"/>
      <c r="Q98" s="856"/>
      <c r="R98" s="856"/>
      <c r="S98" s="856"/>
      <c r="T98" s="856"/>
      <c r="U98" s="856"/>
      <c r="V98" s="856"/>
      <c r="W98" s="856"/>
      <c r="X98" s="856"/>
      <c r="Y98" s="856"/>
      <c r="Z98" s="857"/>
      <c r="AA98" s="8"/>
      <c r="AB98" s="765" t="str">
        <f>ROUND(AQ38+AQ29+AQ19+AQ59+AQ85,0) &amp;"/"&amp;AY12</f>
        <v>0/22</v>
      </c>
      <c r="AC98" s="766"/>
      <c r="AD98" s="766"/>
      <c r="AE98" s="767"/>
      <c r="AF98" s="74"/>
      <c r="AG98" s="167"/>
      <c r="AH98" s="73"/>
      <c r="AI98" s="908"/>
      <c r="AJ98" s="909"/>
      <c r="AK98" s="909"/>
      <c r="AL98" s="910"/>
      <c r="AM98" s="74"/>
      <c r="AN98" s="189"/>
      <c r="AO98" s="98"/>
      <c r="AP98" s="190"/>
    </row>
    <row r="99" spans="2:44" ht="18" thickBot="1">
      <c r="B99" s="76"/>
      <c r="C99" s="77"/>
      <c r="D99" s="77"/>
      <c r="E99" s="77"/>
      <c r="F99" s="77"/>
      <c r="G99" s="78"/>
      <c r="H99" s="167"/>
      <c r="I99" s="76"/>
      <c r="J99" s="67"/>
      <c r="K99" s="217"/>
      <c r="L99" s="217"/>
      <c r="M99" s="217"/>
      <c r="N99" s="77"/>
      <c r="O99" s="81"/>
      <c r="P99" s="63"/>
      <c r="Q99" s="81"/>
      <c r="R99" s="63"/>
      <c r="S99" s="81"/>
      <c r="T99" s="63"/>
      <c r="U99" s="63"/>
      <c r="V99" s="63"/>
      <c r="W99" s="81"/>
      <c r="X99" s="63"/>
      <c r="Y99" s="81"/>
      <c r="Z99" s="54"/>
      <c r="AA99" s="77"/>
      <c r="AB99" s="77" t="s">
        <v>328</v>
      </c>
      <c r="AC99" s="77"/>
      <c r="AD99" s="77"/>
      <c r="AE99" s="77"/>
      <c r="AF99" s="78"/>
      <c r="AG99" s="167"/>
      <c r="AH99" s="76"/>
      <c r="AI99" s="77"/>
      <c r="AJ99" s="77"/>
      <c r="AK99" s="77"/>
      <c r="AL99" s="77"/>
      <c r="AM99" s="78"/>
      <c r="AN99" s="189"/>
      <c r="AO99" s="98"/>
      <c r="AP99" s="98"/>
    </row>
    <row r="100" spans="2:44">
      <c r="AO100" s="98"/>
      <c r="AP100" s="98"/>
    </row>
    <row r="101" spans="2:44">
      <c r="AO101" s="98"/>
      <c r="AP101" s="98"/>
    </row>
    <row r="102" spans="2:44">
      <c r="J102" s="131"/>
      <c r="K102" s="219"/>
      <c r="L102" s="219"/>
      <c r="M102" s="220"/>
      <c r="AO102" s="98"/>
      <c r="AP102" s="98"/>
    </row>
    <row r="103" spans="2:44">
      <c r="K103" s="218"/>
      <c r="L103" s="218"/>
      <c r="M103" s="218"/>
      <c r="AO103" s="98"/>
      <c r="AP103" s="98"/>
    </row>
    <row r="104" spans="2:44">
      <c r="K104" s="218"/>
      <c r="L104" s="218"/>
      <c r="M104" s="218"/>
      <c r="AO104" s="98"/>
      <c r="AP104" s="98"/>
    </row>
    <row r="105" spans="2:44">
      <c r="K105" s="218"/>
      <c r="L105" s="218"/>
      <c r="M105" s="218"/>
      <c r="AO105" s="98"/>
      <c r="AP105" s="98"/>
    </row>
    <row r="106" spans="2:44">
      <c r="K106" s="218"/>
      <c r="L106" s="218"/>
      <c r="M106" s="218"/>
      <c r="AO106" s="98"/>
      <c r="AP106" s="98"/>
    </row>
    <row r="107" spans="2:44">
      <c r="K107" s="218"/>
      <c r="L107" s="218"/>
      <c r="M107" s="218"/>
      <c r="AO107" s="98"/>
      <c r="AP107" s="98"/>
    </row>
    <row r="108" spans="2:44">
      <c r="K108" s="218"/>
      <c r="L108" s="218"/>
      <c r="M108" s="218"/>
      <c r="AO108" s="98"/>
      <c r="AP108" s="98"/>
    </row>
    <row r="109" spans="2:44">
      <c r="K109" s="218"/>
      <c r="L109" s="218"/>
      <c r="M109" s="218"/>
      <c r="AO109" s="98"/>
      <c r="AP109" s="98"/>
    </row>
    <row r="110" spans="2:44">
      <c r="K110" s="218"/>
      <c r="L110" s="218"/>
      <c r="M110" s="218"/>
      <c r="AO110" s="98"/>
      <c r="AP110" s="98"/>
    </row>
    <row r="111" spans="2:44">
      <c r="K111" s="218"/>
      <c r="L111" s="218"/>
      <c r="M111" s="218"/>
      <c r="AO111" s="98"/>
      <c r="AP111" s="98"/>
    </row>
    <row r="112" spans="2:44">
      <c r="K112" s="218"/>
      <c r="L112" s="218"/>
      <c r="M112" s="218"/>
      <c r="AO112" s="98"/>
      <c r="AP112" s="98"/>
    </row>
    <row r="113" spans="5:42">
      <c r="AO113" s="98"/>
      <c r="AP113" s="98"/>
    </row>
    <row r="114" spans="5:42">
      <c r="AO114" s="98"/>
      <c r="AP114" s="98"/>
    </row>
    <row r="115" spans="5:42">
      <c r="E115" s="90" t="s">
        <v>328</v>
      </c>
      <c r="AK115" s="90" t="s">
        <v>328</v>
      </c>
      <c r="AO115" s="98"/>
      <c r="AP115" s="98"/>
    </row>
    <row r="116" spans="5:42">
      <c r="AO116" s="98"/>
      <c r="AP116" s="98"/>
    </row>
    <row r="117" spans="5:42">
      <c r="AO117" s="98"/>
      <c r="AP117" s="98"/>
    </row>
    <row r="118" spans="5:42">
      <c r="AO118" s="98"/>
      <c r="AP118" s="98"/>
    </row>
    <row r="119" spans="5:42">
      <c r="AO119" s="98"/>
      <c r="AP119" s="98"/>
    </row>
    <row r="120" spans="5:42">
      <c r="AO120" s="98"/>
      <c r="AP120" s="98"/>
    </row>
    <row r="121" spans="5:42">
      <c r="AO121" s="98"/>
      <c r="AP121" s="98"/>
    </row>
    <row r="122" spans="5:42">
      <c r="AO122" s="98"/>
      <c r="AP122" s="98"/>
    </row>
    <row r="123" spans="5:42">
      <c r="AO123" s="98"/>
      <c r="AP123" s="98"/>
    </row>
    <row r="124" spans="5:42">
      <c r="AO124" s="98"/>
      <c r="AP124" s="98"/>
    </row>
    <row r="125" spans="5:42">
      <c r="AO125" s="98"/>
      <c r="AP125" s="98"/>
    </row>
    <row r="126" spans="5:42">
      <c r="AO126" s="98"/>
      <c r="AP126" s="98"/>
    </row>
    <row r="127" spans="5:42">
      <c r="AO127" s="98"/>
      <c r="AP127" s="98"/>
    </row>
    <row r="128" spans="5:42">
      <c r="AO128" s="98"/>
      <c r="AP128" s="98"/>
    </row>
    <row r="129" spans="41:42">
      <c r="AO129" s="98"/>
      <c r="AP129" s="98"/>
    </row>
    <row r="130" spans="41:42">
      <c r="AO130" s="98"/>
      <c r="AP130" s="98"/>
    </row>
    <row r="131" spans="41:42">
      <c r="AO131" s="91"/>
      <c r="AP131" s="91"/>
    </row>
    <row r="132" spans="41:42">
      <c r="AO132" s="98"/>
      <c r="AP132" s="98"/>
    </row>
    <row r="133" spans="41:42">
      <c r="AO133" s="98"/>
      <c r="AP133" s="98"/>
    </row>
    <row r="134" spans="41:42">
      <c r="AO134" s="98"/>
      <c r="AP134" s="98"/>
    </row>
    <row r="135" spans="41:42">
      <c r="AO135" s="98"/>
      <c r="AP135" s="98"/>
    </row>
    <row r="136" spans="41:42">
      <c r="AO136" s="98"/>
      <c r="AP136" s="98"/>
    </row>
    <row r="137" spans="41:42">
      <c r="AO137" s="98"/>
      <c r="AP137" s="98"/>
    </row>
    <row r="138" spans="41:42">
      <c r="AO138" s="98"/>
      <c r="AP138" s="98"/>
    </row>
  </sheetData>
  <mergeCells count="135">
    <mergeCell ref="S5:T5"/>
    <mergeCell ref="U5:V5"/>
    <mergeCell ref="S6:T6"/>
    <mergeCell ref="U6:V6"/>
    <mergeCell ref="S4:W4"/>
    <mergeCell ref="P5:R6"/>
    <mergeCell ref="O20:Y20"/>
    <mergeCell ref="O77:Y77"/>
    <mergeCell ref="O78:Y78"/>
    <mergeCell ref="O64:Y64"/>
    <mergeCell ref="O71:Y71"/>
    <mergeCell ref="O49:Y49"/>
    <mergeCell ref="O30:Y30"/>
    <mergeCell ref="AU8:AU10"/>
    <mergeCell ref="AU14:AU16"/>
    <mergeCell ref="AQ19:AQ25"/>
    <mergeCell ref="AZ5:AZ6"/>
    <mergeCell ref="AQ29:AQ34"/>
    <mergeCell ref="AO7:AT7"/>
    <mergeCell ref="AO13:AT13"/>
    <mergeCell ref="AI5:AL17"/>
    <mergeCell ref="AB7:AE17"/>
    <mergeCell ref="AB98:AE98"/>
    <mergeCell ref="AB29:AE34"/>
    <mergeCell ref="AB59:AE66"/>
    <mergeCell ref="AI90:AL98"/>
    <mergeCell ref="AB75:AE81"/>
    <mergeCell ref="AB43:AE50"/>
    <mergeCell ref="AI27:AL35"/>
    <mergeCell ref="AQ59:AQ81"/>
    <mergeCell ref="AB38:AE41"/>
    <mergeCell ref="AI37:AL40"/>
    <mergeCell ref="AB52:AE57"/>
    <mergeCell ref="AQ38:AQ55"/>
    <mergeCell ref="AQ85:AQ96"/>
    <mergeCell ref="AB68:AE73"/>
    <mergeCell ref="AI42:AL57"/>
    <mergeCell ref="AI68:AL73"/>
    <mergeCell ref="AB85:AE88"/>
    <mergeCell ref="AI85:AL88"/>
    <mergeCell ref="AI75:AL83"/>
    <mergeCell ref="AB90:AE96"/>
    <mergeCell ref="J98:Z98"/>
    <mergeCell ref="J29:J34"/>
    <mergeCell ref="K29:M34"/>
    <mergeCell ref="O29:Y29"/>
    <mergeCell ref="O61:Y61"/>
    <mergeCell ref="O62:Y62"/>
    <mergeCell ref="O63:Y63"/>
    <mergeCell ref="O66:Y66"/>
    <mergeCell ref="O45:Y45"/>
    <mergeCell ref="O46:Y46"/>
    <mergeCell ref="O47:Y47"/>
    <mergeCell ref="O48:Y48"/>
    <mergeCell ref="K85:M88"/>
    <mergeCell ref="O95:Y95"/>
    <mergeCell ref="J85:J88"/>
    <mergeCell ref="O69:Y69"/>
    <mergeCell ref="O70:Y70"/>
    <mergeCell ref="O73:Y73"/>
    <mergeCell ref="J68:J73"/>
    <mergeCell ref="K68:M73"/>
    <mergeCell ref="K90:M96"/>
    <mergeCell ref="O90:Y90"/>
    <mergeCell ref="O93:Y93"/>
    <mergeCell ref="O94:Y94"/>
    <mergeCell ref="C7:F17"/>
    <mergeCell ref="C19:F25"/>
    <mergeCell ref="C29:F34"/>
    <mergeCell ref="O44:Y44"/>
    <mergeCell ref="C38:F55"/>
    <mergeCell ref="AH2:AM3"/>
    <mergeCell ref="AI19:AL25"/>
    <mergeCell ref="AI59:AL66"/>
    <mergeCell ref="I2:AF3"/>
    <mergeCell ref="B2:G3"/>
    <mergeCell ref="J19:J25"/>
    <mergeCell ref="K19:M25"/>
    <mergeCell ref="AB19:AE25"/>
    <mergeCell ref="O19:Y19"/>
    <mergeCell ref="O21:Y21"/>
    <mergeCell ref="O22:Y22"/>
    <mergeCell ref="O24:Y24"/>
    <mergeCell ref="O25:Y25"/>
    <mergeCell ref="J59:J66"/>
    <mergeCell ref="K59:M66"/>
    <mergeCell ref="O59:Y59"/>
    <mergeCell ref="O33:Y33"/>
    <mergeCell ref="O23:Y23"/>
    <mergeCell ref="O31:Y31"/>
    <mergeCell ref="K38:M41"/>
    <mergeCell ref="O38:Y38"/>
    <mergeCell ref="O39:Y39"/>
    <mergeCell ref="O40:Y40"/>
    <mergeCell ref="O41:Y41"/>
    <mergeCell ref="O7:Z7"/>
    <mergeCell ref="O13:Z13"/>
    <mergeCell ref="J43:J50"/>
    <mergeCell ref="K43:M50"/>
    <mergeCell ref="O50:Y50"/>
    <mergeCell ref="K7:M17"/>
    <mergeCell ref="J7:J17"/>
    <mergeCell ref="O32:Y32"/>
    <mergeCell ref="O34:Y34"/>
    <mergeCell ref="O43:Y43"/>
    <mergeCell ref="J38:J41"/>
    <mergeCell ref="J52:J55"/>
    <mergeCell ref="O52:Y52"/>
    <mergeCell ref="O53:Y53"/>
    <mergeCell ref="O54:Y54"/>
    <mergeCell ref="O55:Y55"/>
    <mergeCell ref="O87:Y87"/>
    <mergeCell ref="O86:Y86"/>
    <mergeCell ref="O91:Y91"/>
    <mergeCell ref="O92:Y92"/>
    <mergeCell ref="O79:Y79"/>
    <mergeCell ref="O81:Y81"/>
    <mergeCell ref="O60:Y60"/>
    <mergeCell ref="O68:Y68"/>
    <mergeCell ref="O65:Y65"/>
    <mergeCell ref="O72:Y72"/>
    <mergeCell ref="O85:Y85"/>
    <mergeCell ref="O88:Y88"/>
    <mergeCell ref="O80:Y80"/>
    <mergeCell ref="K52:M55"/>
    <mergeCell ref="C59:F66"/>
    <mergeCell ref="C68:F73"/>
    <mergeCell ref="C75:F81"/>
    <mergeCell ref="C85:F96"/>
    <mergeCell ref="J90:J96"/>
    <mergeCell ref="O96:Y96"/>
    <mergeCell ref="J75:J81"/>
    <mergeCell ref="K75:M81"/>
    <mergeCell ref="O75:Y75"/>
    <mergeCell ref="O76:Y76"/>
  </mergeCells>
  <conditionalFormatting sqref="O34">
    <cfRule type="expression" dxfId="371" priority="310">
      <formula>$Z$34</formula>
    </cfRule>
  </conditionalFormatting>
  <conditionalFormatting sqref="O64">
    <cfRule type="expression" dxfId="370" priority="144">
      <formula>$Z$64</formula>
    </cfRule>
  </conditionalFormatting>
  <conditionalFormatting sqref="O71">
    <cfRule type="expression" dxfId="369" priority="134">
      <formula>$Z$71</formula>
    </cfRule>
  </conditionalFormatting>
  <conditionalFormatting sqref="O8:P8 O10:P11">
    <cfRule type="expression" dxfId="368" priority="120">
      <formula>$P$9</formula>
    </cfRule>
  </conditionalFormatting>
  <conditionalFormatting sqref="O8:P9 O11:P11">
    <cfRule type="expression" dxfId="367" priority="119">
      <formula>$P$10</formula>
    </cfRule>
  </conditionalFormatting>
  <conditionalFormatting sqref="O8:P10">
    <cfRule type="expression" dxfId="366" priority="118">
      <formula>$P$11</formula>
    </cfRule>
  </conditionalFormatting>
  <conditionalFormatting sqref="O9:P11">
    <cfRule type="expression" dxfId="365" priority="121">
      <formula>$P$8</formula>
    </cfRule>
  </conditionalFormatting>
  <conditionalFormatting sqref="O14:P14 O16:P17">
    <cfRule type="expression" dxfId="364" priority="100">
      <formula>$P$15</formula>
    </cfRule>
  </conditionalFormatting>
  <conditionalFormatting sqref="O14:P15 O17:P17">
    <cfRule type="expression" dxfId="363" priority="99">
      <formula>$P$16</formula>
    </cfRule>
  </conditionalFormatting>
  <conditionalFormatting sqref="O14:P16">
    <cfRule type="expression" dxfId="362" priority="98">
      <formula>$P$17</formula>
    </cfRule>
  </conditionalFormatting>
  <conditionalFormatting sqref="O15:P17">
    <cfRule type="expression" dxfId="361" priority="101">
      <formula>$P$14</formula>
    </cfRule>
  </conditionalFormatting>
  <conditionalFormatting sqref="O19:Y19">
    <cfRule type="expression" dxfId="360" priority="518">
      <formula>$Z$19</formula>
    </cfRule>
  </conditionalFormatting>
  <conditionalFormatting sqref="O20:Y20">
    <cfRule type="expression" dxfId="359" priority="54">
      <formula>$Z$20</formula>
    </cfRule>
  </conditionalFormatting>
  <conditionalFormatting sqref="O21:Y21">
    <cfRule type="expression" dxfId="358" priority="520">
      <formula>$Z$21</formula>
    </cfRule>
  </conditionalFormatting>
  <conditionalFormatting sqref="O22:Y22">
    <cfRule type="expression" dxfId="357" priority="524">
      <formula>$Z$22</formula>
    </cfRule>
  </conditionalFormatting>
  <conditionalFormatting sqref="O23:Y23">
    <cfRule type="expression" dxfId="356" priority="293">
      <formula>$Z$23</formula>
    </cfRule>
  </conditionalFormatting>
  <conditionalFormatting sqref="O25:Y25">
    <cfRule type="expression" dxfId="355" priority="528">
      <formula>$Z$25</formula>
    </cfRule>
  </conditionalFormatting>
  <conditionalFormatting sqref="O29:Y29">
    <cfRule type="expression" dxfId="354" priority="315">
      <formula>$Z$29</formula>
    </cfRule>
  </conditionalFormatting>
  <conditionalFormatting sqref="O30:Y30">
    <cfRule type="expression" dxfId="353" priority="261">
      <formula>$Z$30</formula>
    </cfRule>
  </conditionalFormatting>
  <conditionalFormatting sqref="O31:Y31">
    <cfRule type="expression" dxfId="352" priority="313">
      <formula>$Z$31</formula>
    </cfRule>
  </conditionalFormatting>
  <conditionalFormatting sqref="O32:Y32">
    <cfRule type="expression" dxfId="351" priority="312">
      <formula>$Z$32</formula>
    </cfRule>
  </conditionalFormatting>
  <conditionalFormatting sqref="O43:Y43">
    <cfRule type="expression" dxfId="350" priority="307">
      <formula>$Z$43</formula>
    </cfRule>
  </conditionalFormatting>
  <conditionalFormatting sqref="O44:Y44">
    <cfRule type="expression" dxfId="349" priority="287">
      <formula>$Z$44</formula>
    </cfRule>
  </conditionalFormatting>
  <conditionalFormatting sqref="O45:Y45">
    <cfRule type="expression" dxfId="348" priority="306">
      <formula>$Z$45</formula>
    </cfRule>
  </conditionalFormatting>
  <conditionalFormatting sqref="O46:Y46">
    <cfRule type="expression" dxfId="347" priority="305">
      <formula>$Z$46</formula>
    </cfRule>
  </conditionalFormatting>
  <conditionalFormatting sqref="O47:Y47">
    <cfRule type="expression" dxfId="346" priority="304">
      <formula>$Z$47</formula>
    </cfRule>
  </conditionalFormatting>
  <conditionalFormatting sqref="O48:Y48">
    <cfRule type="expression" dxfId="345" priority="303">
      <formula>$Z$48</formula>
    </cfRule>
  </conditionalFormatting>
  <conditionalFormatting sqref="O49:Y49">
    <cfRule type="expression" dxfId="344" priority="47">
      <formula>$Z$49</formula>
    </cfRule>
  </conditionalFormatting>
  <conditionalFormatting sqref="O59:Y59">
    <cfRule type="expression" dxfId="343" priority="149">
      <formula>$Z$59</formula>
    </cfRule>
  </conditionalFormatting>
  <conditionalFormatting sqref="O60:Y60">
    <cfRule type="expression" dxfId="342" priority="148">
      <formula>$Z$60</formula>
    </cfRule>
  </conditionalFormatting>
  <conditionalFormatting sqref="O61:Y61">
    <cfRule type="expression" dxfId="341" priority="147">
      <formula>$Z$61</formula>
    </cfRule>
  </conditionalFormatting>
  <conditionalFormatting sqref="O62:Y62">
    <cfRule type="expression" dxfId="340" priority="146">
      <formula>$Z$62</formula>
    </cfRule>
  </conditionalFormatting>
  <conditionalFormatting sqref="O63:Y63">
    <cfRule type="expression" dxfId="339" priority="145">
      <formula>$Z$63</formula>
    </cfRule>
  </conditionalFormatting>
  <conditionalFormatting sqref="O66:Y66">
    <cfRule type="expression" dxfId="338" priority="538">
      <formula>$Z$66</formula>
    </cfRule>
  </conditionalFormatting>
  <conditionalFormatting sqref="O68:Y68">
    <cfRule type="expression" dxfId="337" priority="140">
      <formula>$Z$68</formula>
    </cfRule>
  </conditionalFormatting>
  <conditionalFormatting sqref="O69:Y69">
    <cfRule type="expression" dxfId="336" priority="139">
      <formula>$Z$69</formula>
    </cfRule>
  </conditionalFormatting>
  <conditionalFormatting sqref="O70:Y70">
    <cfRule type="expression" dxfId="335" priority="138">
      <formula>$Z$70</formula>
    </cfRule>
  </conditionalFormatting>
  <conditionalFormatting sqref="O73:Y73">
    <cfRule type="expression" dxfId="334" priority="286">
      <formula>#REF!</formula>
    </cfRule>
    <cfRule type="expression" dxfId="333" priority="258">
      <formula>$Z$73</formula>
    </cfRule>
  </conditionalFormatting>
  <conditionalFormatting sqref="O75:Y75">
    <cfRule type="expression" dxfId="332" priority="255">
      <formula>$Z$75</formula>
    </cfRule>
  </conditionalFormatting>
  <conditionalFormatting sqref="O75:Y79">
    <cfRule type="expression" dxfId="331" priority="273">
      <formula>#REF!</formula>
    </cfRule>
  </conditionalFormatting>
  <conditionalFormatting sqref="O76:Y76">
    <cfRule type="expression" dxfId="330" priority="254">
      <formula>$Z$76</formula>
    </cfRule>
  </conditionalFormatting>
  <conditionalFormatting sqref="O77:Y77">
    <cfRule type="expression" dxfId="329" priority="253">
      <formula>$Z$77</formula>
    </cfRule>
  </conditionalFormatting>
  <conditionalFormatting sqref="O78:Y78">
    <cfRule type="expression" dxfId="328" priority="252">
      <formula>$Z$78</formula>
    </cfRule>
  </conditionalFormatting>
  <conditionalFormatting sqref="O79:Y79">
    <cfRule type="expression" dxfId="327" priority="251">
      <formula>$Z$79</formula>
    </cfRule>
  </conditionalFormatting>
  <conditionalFormatting sqref="O81:Y81">
    <cfRule type="expression" dxfId="326" priority="278">
      <formula>#REF!</formula>
    </cfRule>
    <cfRule type="expression" dxfId="325" priority="256">
      <formula>$Z$81</formula>
    </cfRule>
  </conditionalFormatting>
  <conditionalFormatting sqref="O90:Y90">
    <cfRule type="expression" dxfId="324" priority="243">
      <formula>$Z$90</formula>
    </cfRule>
  </conditionalFormatting>
  <conditionalFormatting sqref="O91:Y91">
    <cfRule type="expression" dxfId="323" priority="70">
      <formula>$Z$91</formula>
    </cfRule>
  </conditionalFormatting>
  <conditionalFormatting sqref="O92:Y92">
    <cfRule type="expression" dxfId="322" priority="69">
      <formula>$Z$92</formula>
    </cfRule>
  </conditionalFormatting>
  <conditionalFormatting sqref="O93:Y93">
    <cfRule type="expression" dxfId="321" priority="242">
      <formula>$Z$93</formula>
    </cfRule>
  </conditionalFormatting>
  <conditionalFormatting sqref="O94:Y94">
    <cfRule type="expression" dxfId="320" priority="241">
      <formula>$Z$94</formula>
    </cfRule>
  </conditionalFormatting>
  <conditionalFormatting sqref="O96:Y96">
    <cfRule type="expression" dxfId="319" priority="240">
      <formula>$Z$96</formula>
    </cfRule>
  </conditionalFormatting>
  <conditionalFormatting sqref="O19:Z19 O20 Z20 O21:Z23">
    <cfRule type="expression" dxfId="318" priority="231">
      <formula>$Z$24</formula>
    </cfRule>
  </conditionalFormatting>
  <conditionalFormatting sqref="O29:Z32">
    <cfRule type="expression" dxfId="317" priority="708">
      <formula>$Z$33</formula>
    </cfRule>
  </conditionalFormatting>
  <conditionalFormatting sqref="O33:Z33">
    <cfRule type="expression" dxfId="316" priority="11">
      <formula>OR($Z$29:$Z$32)</formula>
    </cfRule>
    <cfRule type="expression" dxfId="315" priority="15">
      <formula>$AO$19=0</formula>
    </cfRule>
  </conditionalFormatting>
  <conditionalFormatting sqref="O38:Z38 O40:Z41">
    <cfRule type="expression" dxfId="314" priority="50">
      <formula>$Z$39</formula>
    </cfRule>
  </conditionalFormatting>
  <conditionalFormatting sqref="O38:Z39 O41:Z41">
    <cfRule type="expression" dxfId="313" priority="49">
      <formula>$Z$40</formula>
    </cfRule>
  </conditionalFormatting>
  <conditionalFormatting sqref="O38:Z40">
    <cfRule type="expression" dxfId="312" priority="48">
      <formula>$Z$41</formula>
    </cfRule>
  </conditionalFormatting>
  <conditionalFormatting sqref="O39:Z41">
    <cfRule type="expression" dxfId="311" priority="51">
      <formula>$Z$38</formula>
    </cfRule>
  </conditionalFormatting>
  <conditionalFormatting sqref="O43:Z49">
    <cfRule type="expression" dxfId="310" priority="133">
      <formula>$Z$50</formula>
    </cfRule>
  </conditionalFormatting>
  <conditionalFormatting sqref="O52:Z52 O54:Z55">
    <cfRule type="expression" dxfId="309" priority="45">
      <formula>$Z$53</formula>
    </cfRule>
  </conditionalFormatting>
  <conditionalFormatting sqref="O52:Z53 O55:Z55">
    <cfRule type="expression" dxfId="308" priority="44">
      <formula>$Z$54</formula>
    </cfRule>
  </conditionalFormatting>
  <conditionalFormatting sqref="O52:Z54">
    <cfRule type="expression" dxfId="307" priority="43">
      <formula>$Z$55</formula>
    </cfRule>
  </conditionalFormatting>
  <conditionalFormatting sqref="O53:Z55">
    <cfRule type="expression" dxfId="306" priority="46">
      <formula>$Z$52</formula>
    </cfRule>
  </conditionalFormatting>
  <conditionalFormatting sqref="O59:Z64">
    <cfRule type="expression" dxfId="305" priority="143">
      <formula>$Z$65</formula>
    </cfRule>
  </conditionalFormatting>
  <conditionalFormatting sqref="O65:Z65">
    <cfRule type="expression" dxfId="304" priority="14">
      <formula>$AO$20=0</formula>
    </cfRule>
    <cfRule type="expression" dxfId="303" priority="10">
      <formula>OR($Z$59:$Z$64)</formula>
    </cfRule>
  </conditionalFormatting>
  <conditionalFormatting sqref="O68:Z71">
    <cfRule type="expression" dxfId="302" priority="135">
      <formula>$Z$72</formula>
    </cfRule>
  </conditionalFormatting>
  <conditionalFormatting sqref="O72:Z72">
    <cfRule type="expression" dxfId="301" priority="13">
      <formula>$AO$21=0</formula>
    </cfRule>
    <cfRule type="expression" dxfId="300" priority="9">
      <formula>OR($Z$68:$Z$71)</formula>
    </cfRule>
  </conditionalFormatting>
  <conditionalFormatting sqref="O75:Z79">
    <cfRule type="expression" dxfId="299" priority="227">
      <formula>$Z$80</formula>
    </cfRule>
  </conditionalFormatting>
  <conditionalFormatting sqref="O80:Z80">
    <cfRule type="expression" dxfId="298" priority="12">
      <formula>$AO$22=0</formula>
    </cfRule>
    <cfRule type="expression" dxfId="297" priority="8">
      <formula>OR($Z$75:$Z$79)</formula>
    </cfRule>
  </conditionalFormatting>
  <conditionalFormatting sqref="O85:Z85 O87:Z88">
    <cfRule type="expression" dxfId="296" priority="41">
      <formula>$Z$86</formula>
    </cfRule>
  </conditionalFormatting>
  <conditionalFormatting sqref="O85:Z86 O88:Z88">
    <cfRule type="expression" dxfId="295" priority="40">
      <formula>$Z$87</formula>
    </cfRule>
  </conditionalFormatting>
  <conditionalFormatting sqref="O85:Z87">
    <cfRule type="expression" dxfId="294" priority="39">
      <formula>$Z$88</formula>
    </cfRule>
  </conditionalFormatting>
  <conditionalFormatting sqref="O86:Z88">
    <cfRule type="expression" dxfId="293" priority="42">
      <formula>$Z$85</formula>
    </cfRule>
  </conditionalFormatting>
  <conditionalFormatting sqref="O90:Z94">
    <cfRule type="expression" dxfId="292" priority="224">
      <formula>$Z$95</formula>
    </cfRule>
  </conditionalFormatting>
  <conditionalFormatting sqref="Q8:R8 Q10:R11">
    <cfRule type="expression" dxfId="291" priority="116">
      <formula>$R$9</formula>
    </cfRule>
  </conditionalFormatting>
  <conditionalFormatting sqref="Q8:R9 Q11:R11">
    <cfRule type="expression" dxfId="290" priority="115">
      <formula>$R$10</formula>
    </cfRule>
  </conditionalFormatting>
  <conditionalFormatting sqref="Q8:R10">
    <cfRule type="expression" dxfId="289" priority="114">
      <formula>$R$11</formula>
    </cfRule>
  </conditionalFormatting>
  <conditionalFormatting sqref="Q9:R11">
    <cfRule type="expression" dxfId="288" priority="117">
      <formula>$R$8</formula>
    </cfRule>
  </conditionalFormatting>
  <conditionalFormatting sqref="Q14:R14 Q16:R17">
    <cfRule type="expression" dxfId="287" priority="96">
      <formula>$R$15</formula>
    </cfRule>
  </conditionalFormatting>
  <conditionalFormatting sqref="Q14:R15 Q17:R17">
    <cfRule type="expression" dxfId="286" priority="95">
      <formula>$R$16</formula>
    </cfRule>
  </conditionalFormatting>
  <conditionalFormatting sqref="Q14:R16">
    <cfRule type="expression" dxfId="285" priority="94">
      <formula>$R$17</formula>
    </cfRule>
  </conditionalFormatting>
  <conditionalFormatting sqref="Q15:R17">
    <cfRule type="expression" dxfId="284" priority="97">
      <formula>$R$14</formula>
    </cfRule>
  </conditionalFormatting>
  <conditionalFormatting sqref="S8:T8 S10:T11">
    <cfRule type="expression" dxfId="283" priority="112">
      <formula>$T$9</formula>
    </cfRule>
  </conditionalFormatting>
  <conditionalFormatting sqref="S8:T9 S11:T11">
    <cfRule type="expression" dxfId="282" priority="111">
      <formula>$T$10</formula>
    </cfRule>
  </conditionalFormatting>
  <conditionalFormatting sqref="S8:T10">
    <cfRule type="expression" dxfId="281" priority="110">
      <formula>$T$11</formula>
    </cfRule>
  </conditionalFormatting>
  <conditionalFormatting sqref="S9:T11">
    <cfRule type="expression" dxfId="280" priority="113">
      <formula>$T$8</formula>
    </cfRule>
  </conditionalFormatting>
  <conditionalFormatting sqref="S14:T14 S16:T17">
    <cfRule type="expression" dxfId="279" priority="92">
      <formula>$T$15</formula>
    </cfRule>
  </conditionalFormatting>
  <conditionalFormatting sqref="S14:T15 S17:T17">
    <cfRule type="expression" dxfId="278" priority="91">
      <formula>$T$16</formula>
    </cfRule>
  </conditionalFormatting>
  <conditionalFormatting sqref="S14:T16">
    <cfRule type="expression" dxfId="277" priority="90">
      <formula>$T$17</formula>
    </cfRule>
  </conditionalFormatting>
  <conditionalFormatting sqref="S15:T17">
    <cfRule type="expression" dxfId="276" priority="93">
      <formula>$T$14</formula>
    </cfRule>
  </conditionalFormatting>
  <conditionalFormatting sqref="U8:V8 U10:V11">
    <cfRule type="expression" dxfId="275" priority="24">
      <formula>$V$9</formula>
    </cfRule>
  </conditionalFormatting>
  <conditionalFormatting sqref="U8:V9 U11:V11">
    <cfRule type="expression" dxfId="274" priority="23">
      <formula>$V$10</formula>
    </cfRule>
  </conditionalFormatting>
  <conditionalFormatting sqref="U8:V10">
    <cfRule type="expression" dxfId="273" priority="22">
      <formula>$V$11</formula>
    </cfRule>
  </conditionalFormatting>
  <conditionalFormatting sqref="U9:V11">
    <cfRule type="expression" dxfId="272" priority="25">
      <formula>$V$8</formula>
    </cfRule>
  </conditionalFormatting>
  <conditionalFormatting sqref="U14:V14 U16:V17">
    <cfRule type="expression" dxfId="271" priority="3">
      <formula>$V$15</formula>
    </cfRule>
  </conditionalFormatting>
  <conditionalFormatting sqref="U14:V15 U17:V17">
    <cfRule type="expression" dxfId="270" priority="2">
      <formula>$V$16</formula>
    </cfRule>
  </conditionalFormatting>
  <conditionalFormatting sqref="U14:V16">
    <cfRule type="expression" dxfId="269" priority="1">
      <formula>$V$17</formula>
    </cfRule>
  </conditionalFormatting>
  <conditionalFormatting sqref="U15:V17">
    <cfRule type="expression" dxfId="268" priority="4">
      <formula>$V$14</formula>
    </cfRule>
  </conditionalFormatting>
  <conditionalFormatting sqref="W8:X8 W10:X11">
    <cfRule type="expression" dxfId="267" priority="108">
      <formula>$X$9</formula>
    </cfRule>
  </conditionalFormatting>
  <conditionalFormatting sqref="W8:X9 W11:X11">
    <cfRule type="expression" dxfId="266" priority="107">
      <formula>$X$10</formula>
    </cfRule>
  </conditionalFormatting>
  <conditionalFormatting sqref="W8:X10">
    <cfRule type="expression" dxfId="265" priority="106">
      <formula>$X$11</formula>
    </cfRule>
  </conditionalFormatting>
  <conditionalFormatting sqref="W9:X11">
    <cfRule type="expression" dxfId="264" priority="109">
      <formula>$X$8</formula>
    </cfRule>
  </conditionalFormatting>
  <conditionalFormatting sqref="W14:X14 W16:X17">
    <cfRule type="expression" dxfId="263" priority="88">
      <formula>$X$15</formula>
    </cfRule>
  </conditionalFormatting>
  <conditionalFormatting sqref="W14:X15 W17:X17">
    <cfRule type="expression" dxfId="262" priority="86">
      <formula>$X$16</formula>
    </cfRule>
  </conditionalFormatting>
  <conditionalFormatting sqref="W14:X16">
    <cfRule type="expression" dxfId="261" priority="85">
      <formula>$X$17</formula>
    </cfRule>
  </conditionalFormatting>
  <conditionalFormatting sqref="W15:X17">
    <cfRule type="expression" dxfId="260" priority="89">
      <formula>$X$14</formula>
    </cfRule>
  </conditionalFormatting>
  <conditionalFormatting sqref="Y8:Z8 Y10:Z11">
    <cfRule type="expression" dxfId="259" priority="104">
      <formula>$Z$9</formula>
    </cfRule>
  </conditionalFormatting>
  <conditionalFormatting sqref="Y8:Z9 Y11:Z11">
    <cfRule type="expression" dxfId="258" priority="103">
      <formula>$Z$10</formula>
    </cfRule>
  </conditionalFormatting>
  <conditionalFormatting sqref="Y8:Z10">
    <cfRule type="expression" dxfId="257" priority="102">
      <formula>$Z$11</formula>
    </cfRule>
  </conditionalFormatting>
  <conditionalFormatting sqref="Y9:Z11">
    <cfRule type="expression" dxfId="256" priority="105">
      <formula>$Z$8</formula>
    </cfRule>
  </conditionalFormatting>
  <conditionalFormatting sqref="Y14:Z14 Y16:Z17">
    <cfRule type="expression" dxfId="255" priority="83">
      <formula>$Z$15</formula>
    </cfRule>
  </conditionalFormatting>
  <conditionalFormatting sqref="Y14:Z15 Y17:Z17">
    <cfRule type="expression" dxfId="254" priority="82">
      <formula>$Z$16</formula>
    </cfRule>
  </conditionalFormatting>
  <conditionalFormatting sqref="Y14:Z16">
    <cfRule type="expression" dxfId="253" priority="81">
      <formula>$Z$17</formula>
    </cfRule>
  </conditionalFormatting>
  <conditionalFormatting sqref="Y15:Z17">
    <cfRule type="expression" dxfId="252" priority="84">
      <formula>$Z$14</formula>
    </cfRule>
  </conditionalFormatting>
  <conditionalFormatting sqref="AB19:AE25">
    <cfRule type="expression" dxfId="251" priority="598">
      <formula>$Z$25</formula>
    </cfRule>
  </conditionalFormatting>
  <conditionalFormatting sqref="AB29:AE34">
    <cfRule type="expression" dxfId="250" priority="713">
      <formula>$Z$34</formula>
    </cfRule>
  </conditionalFormatting>
  <conditionalFormatting sqref="AB59:AE66">
    <cfRule type="expression" dxfId="249" priority="349">
      <formula>$Z$66</formula>
    </cfRule>
  </conditionalFormatting>
  <conditionalFormatting sqref="AB68:AE73">
    <cfRule type="expression" dxfId="248" priority="257">
      <formula>$Z$73</formula>
    </cfRule>
    <cfRule type="expression" dxfId="247" priority="340">
      <formula>#REF!</formula>
    </cfRule>
  </conditionalFormatting>
  <conditionalFormatting sqref="AB75:AE81">
    <cfRule type="expression" dxfId="246" priority="272">
      <formula>#REF!</formula>
    </cfRule>
    <cfRule type="expression" dxfId="245" priority="259">
      <formula>$Z$81</formula>
    </cfRule>
  </conditionalFormatting>
  <conditionalFormatting sqref="AB90:AE96">
    <cfRule type="expression" dxfId="244" priority="239">
      <formula>$Z$96</formula>
    </cfRule>
  </conditionalFormatting>
  <conditionalFormatting sqref="AI5">
    <cfRule type="expression" dxfId="243" priority="177">
      <formula>$AO$5</formula>
    </cfRule>
    <cfRule type="expression" dxfId="242" priority="175">
      <formula>$AP$5=2</formula>
    </cfRule>
    <cfRule type="expression" dxfId="241" priority="173">
      <formula>$AO$5=1</formula>
    </cfRule>
    <cfRule type="expression" dxfId="240" priority="174">
      <formula>$AP$5=1</formula>
    </cfRule>
    <cfRule type="expression" dxfId="239" priority="176">
      <formula>$AO$5=2</formula>
    </cfRule>
  </conditionalFormatting>
  <conditionalFormatting sqref="AI27">
    <cfRule type="expression" dxfId="238" priority="237">
      <formula>$Z$33</formula>
    </cfRule>
  </conditionalFormatting>
  <conditionalFormatting sqref="AI42">
    <cfRule type="expression" dxfId="237" priority="236">
      <formula>$Z$50</formula>
    </cfRule>
  </conditionalFormatting>
  <conditionalFormatting sqref="AI19:AL25">
    <cfRule type="expression" dxfId="236" priority="238">
      <formula>$Z$24</formula>
    </cfRule>
  </conditionalFormatting>
  <conditionalFormatting sqref="AI27:AL35">
    <cfRule type="expression" dxfId="235" priority="7">
      <formula>AND($AO$29:$AO$32)</formula>
    </cfRule>
    <cfRule type="expression" dxfId="234" priority="52">
      <formula>$Z$32</formula>
    </cfRule>
    <cfRule type="expression" dxfId="233" priority="719">
      <formula>$AO$29</formula>
    </cfRule>
    <cfRule type="expression" dxfId="232" priority="716">
      <formula>$AO$31</formula>
    </cfRule>
    <cfRule type="expression" dxfId="231" priority="717">
      <formula>$AO$30</formula>
    </cfRule>
  </conditionalFormatting>
  <conditionalFormatting sqref="AI42:AL57">
    <cfRule type="expression" dxfId="230" priority="132">
      <formula>$Z$49</formula>
    </cfRule>
  </conditionalFormatting>
  <conditionalFormatting sqref="AI59:AL66">
    <cfRule type="expression" dxfId="229" priority="141">
      <formula>$Z$64</formula>
    </cfRule>
    <cfRule type="expression" dxfId="228" priority="142">
      <formula>$Z$65</formula>
    </cfRule>
  </conditionalFormatting>
  <conditionalFormatting sqref="AI68:AL73">
    <cfRule type="expression" dxfId="227" priority="161">
      <formula>$AO$70</formula>
    </cfRule>
    <cfRule type="expression" dxfId="226" priority="6">
      <formula>AND($AO$68:$AO$71)</formula>
    </cfRule>
    <cfRule type="expression" dxfId="225" priority="136">
      <formula>$Z$71</formula>
    </cfRule>
    <cfRule type="expression" dxfId="224" priority="228">
      <formula>$Z$72</formula>
    </cfRule>
    <cfRule type="expression" dxfId="223" priority="163">
      <formula>$AO$68</formula>
    </cfRule>
    <cfRule type="expression" dxfId="222" priority="162">
      <formula>$AO$69</formula>
    </cfRule>
  </conditionalFormatting>
  <conditionalFormatting sqref="AI75:AL83">
    <cfRule type="expression" dxfId="221" priority="159">
      <formula>$AO$75</formula>
    </cfRule>
    <cfRule type="expression" dxfId="220" priority="158">
      <formula>$AO$76</formula>
    </cfRule>
    <cfRule type="expression" dxfId="219" priority="226">
      <formula>$Z$80</formula>
    </cfRule>
    <cfRule type="expression" dxfId="218" priority="154">
      <formula>SUM($AO$75:$AO$79)=5</formula>
    </cfRule>
    <cfRule type="expression" dxfId="217" priority="156">
      <formula>$AO$78</formula>
    </cfRule>
    <cfRule type="expression" dxfId="216" priority="157">
      <formula>$AO$77</formula>
    </cfRule>
    <cfRule type="expression" dxfId="215" priority="155">
      <formula>$AO$79</formula>
    </cfRule>
  </conditionalFormatting>
  <conditionalFormatting sqref="AI85:AL88">
    <cfRule type="expression" dxfId="214" priority="235">
      <formula>$Z$88</formula>
    </cfRule>
  </conditionalFormatting>
  <conditionalFormatting sqref="AI90:AL98">
    <cfRule type="expression" dxfId="213" priority="5">
      <formula>AND($AO$90:$AO$94)</formula>
    </cfRule>
    <cfRule type="expression" dxfId="212" priority="20">
      <formula>$Z$93</formula>
    </cfRule>
    <cfRule type="expression" dxfId="211" priority="33">
      <formula>$Z$94</formula>
    </cfRule>
    <cfRule type="expression" dxfId="210" priority="35">
      <formula>$Z$92</formula>
    </cfRule>
    <cfRule type="expression" dxfId="209" priority="36">
      <formula>$Z$91</formula>
    </cfRule>
    <cfRule type="expression" dxfId="208" priority="37">
      <formula>$Z$90</formula>
    </cfRule>
    <cfRule type="expression" dxfId="207" priority="32">
      <formula>$Z$95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B345-8637-4E11-B20A-DC58836D47E7}">
  <dimension ref="A1:BJ30"/>
  <sheetViews>
    <sheetView workbookViewId="0">
      <selection activeCell="J24" sqref="J24"/>
    </sheetView>
  </sheetViews>
  <sheetFormatPr defaultColWidth="8.77734375" defaultRowHeight="15"/>
  <cols>
    <col min="1" max="1" width="16.21875" style="18" bestFit="1" customWidth="1"/>
    <col min="2" max="2" width="7.6640625" style="18" bestFit="1" customWidth="1"/>
    <col min="3" max="3" width="14.6640625" style="18" customWidth="1"/>
    <col min="4" max="4" width="20.5546875" style="18" customWidth="1"/>
    <col min="5" max="5" width="10.44140625" style="18" customWidth="1"/>
    <col min="6" max="16384" width="8.77734375" style="18"/>
  </cols>
  <sheetData>
    <row r="1" spans="1:62">
      <c r="A1" s="396" t="s">
        <v>639</v>
      </c>
      <c r="B1" s="396" t="s">
        <v>875</v>
      </c>
      <c r="C1" s="396" t="s">
        <v>875</v>
      </c>
      <c r="D1" s="396" t="s">
        <v>875</v>
      </c>
      <c r="E1" s="396" t="s">
        <v>875</v>
      </c>
      <c r="F1" s="396" t="s">
        <v>875</v>
      </c>
      <c r="G1" s="396" t="s">
        <v>875</v>
      </c>
      <c r="H1" s="396" t="s">
        <v>875</v>
      </c>
      <c r="I1" s="396" t="s">
        <v>875</v>
      </c>
      <c r="J1" s="396" t="s">
        <v>875</v>
      </c>
      <c r="K1" s="396" t="s">
        <v>875</v>
      </c>
      <c r="L1" s="396" t="s">
        <v>880</v>
      </c>
      <c r="M1" s="396" t="s">
        <v>880</v>
      </c>
      <c r="N1" s="396" t="s">
        <v>880</v>
      </c>
      <c r="O1" s="396" t="s">
        <v>880</v>
      </c>
      <c r="P1" s="396" t="s">
        <v>881</v>
      </c>
      <c r="Q1" s="396" t="s">
        <v>881</v>
      </c>
      <c r="R1" s="396" t="s">
        <v>881</v>
      </c>
      <c r="S1" s="396" t="s">
        <v>881</v>
      </c>
      <c r="T1" s="396" t="s">
        <v>881</v>
      </c>
      <c r="U1" s="396" t="s">
        <v>881</v>
      </c>
      <c r="V1" s="396" t="s">
        <v>881</v>
      </c>
      <c r="W1" s="396" t="s">
        <v>881</v>
      </c>
      <c r="X1" s="396" t="s">
        <v>881</v>
      </c>
      <c r="Y1" s="396" t="s">
        <v>881</v>
      </c>
      <c r="Z1" s="396" t="s">
        <v>881</v>
      </c>
      <c r="AA1" s="396" t="s">
        <v>881</v>
      </c>
      <c r="AB1" s="396" t="s">
        <v>881</v>
      </c>
      <c r="AC1" s="396" t="s">
        <v>881</v>
      </c>
      <c r="AD1" s="396" t="s">
        <v>881</v>
      </c>
      <c r="AE1" s="396" t="s">
        <v>881</v>
      </c>
      <c r="AF1" s="396" t="s">
        <v>881</v>
      </c>
      <c r="AG1" s="396" t="s">
        <v>881</v>
      </c>
      <c r="AH1" s="396" t="s">
        <v>882</v>
      </c>
      <c r="AI1" s="396" t="s">
        <v>882</v>
      </c>
      <c r="AJ1" s="396" t="s">
        <v>882</v>
      </c>
      <c r="AK1" s="396" t="s">
        <v>882</v>
      </c>
      <c r="AL1" s="396" t="s">
        <v>882</v>
      </c>
      <c r="AM1" s="396" t="s">
        <v>882</v>
      </c>
      <c r="AN1" s="396" t="s">
        <v>882</v>
      </c>
      <c r="AO1" s="396" t="s">
        <v>882</v>
      </c>
      <c r="AP1" s="396" t="s">
        <v>882</v>
      </c>
      <c r="AQ1" s="396" t="s">
        <v>882</v>
      </c>
      <c r="AR1" s="396" t="s">
        <v>882</v>
      </c>
      <c r="AS1" s="396" t="s">
        <v>884</v>
      </c>
      <c r="AT1" s="396" t="s">
        <v>884</v>
      </c>
      <c r="AU1" s="396" t="s">
        <v>884</v>
      </c>
      <c r="AV1" s="396" t="s">
        <v>884</v>
      </c>
      <c r="AW1" s="396" t="s">
        <v>884</v>
      </c>
      <c r="AX1" s="396" t="s">
        <v>884</v>
      </c>
      <c r="AY1" s="396" t="s">
        <v>884</v>
      </c>
      <c r="AZ1" s="396" t="s">
        <v>884</v>
      </c>
      <c r="BA1" s="396" t="s">
        <v>884</v>
      </c>
      <c r="BB1" s="396" t="s">
        <v>884</v>
      </c>
      <c r="BC1" s="396" t="s">
        <v>884</v>
      </c>
      <c r="BD1" s="396" t="s">
        <v>884</v>
      </c>
      <c r="BE1" s="396" t="s">
        <v>885</v>
      </c>
      <c r="BF1" s="396" t="s">
        <v>885</v>
      </c>
      <c r="BG1" s="396" t="s">
        <v>885</v>
      </c>
      <c r="BH1" s="396" t="s">
        <v>885</v>
      </c>
      <c r="BI1" s="396" t="s">
        <v>885</v>
      </c>
      <c r="BJ1" s="396" t="s">
        <v>885</v>
      </c>
    </row>
    <row r="2" spans="1:62">
      <c r="A2" s="396" t="s">
        <v>1007</v>
      </c>
      <c r="B2" s="396" t="s">
        <v>876</v>
      </c>
      <c r="C2" s="396" t="s">
        <v>876</v>
      </c>
      <c r="D2" s="396" t="s">
        <v>877</v>
      </c>
      <c r="E2" s="396" t="s">
        <v>877</v>
      </c>
      <c r="F2" s="396" t="s">
        <v>877</v>
      </c>
      <c r="G2" s="396" t="s">
        <v>878</v>
      </c>
      <c r="H2" s="396" t="s">
        <v>878</v>
      </c>
      <c r="I2" s="396" t="s">
        <v>878</v>
      </c>
      <c r="J2" s="396" t="s">
        <v>879</v>
      </c>
      <c r="K2" s="396" t="s">
        <v>879</v>
      </c>
      <c r="L2" s="396" t="s">
        <v>876</v>
      </c>
      <c r="M2" s="396" t="s">
        <v>877</v>
      </c>
      <c r="N2" s="396" t="s">
        <v>878</v>
      </c>
      <c r="O2" s="396" t="s">
        <v>879</v>
      </c>
      <c r="P2" s="396" t="s">
        <v>876</v>
      </c>
      <c r="Q2" s="396" t="s">
        <v>876</v>
      </c>
      <c r="R2" s="396" t="s">
        <v>876</v>
      </c>
      <c r="S2" s="396" t="s">
        <v>876</v>
      </c>
      <c r="T2" s="396" t="s">
        <v>876</v>
      </c>
      <c r="U2" s="396" t="s">
        <v>876</v>
      </c>
      <c r="V2" s="396" t="s">
        <v>876</v>
      </c>
      <c r="W2" s="396" t="s">
        <v>876</v>
      </c>
      <c r="X2" s="396" t="s">
        <v>876</v>
      </c>
      <c r="Y2" s="396" t="s">
        <v>876</v>
      </c>
      <c r="Z2" s="396" t="s">
        <v>876</v>
      </c>
      <c r="AA2" s="396" t="s">
        <v>877</v>
      </c>
      <c r="AB2" s="396" t="s">
        <v>877</v>
      </c>
      <c r="AC2" s="396" t="s">
        <v>877</v>
      </c>
      <c r="AD2" s="396" t="s">
        <v>877</v>
      </c>
      <c r="AE2" s="396" t="s">
        <v>877</v>
      </c>
      <c r="AF2" s="396" t="s">
        <v>877</v>
      </c>
      <c r="AG2" s="396" t="s">
        <v>877</v>
      </c>
      <c r="AH2" s="396" t="s">
        <v>876</v>
      </c>
      <c r="AI2" s="396" t="s">
        <v>876</v>
      </c>
      <c r="AJ2" s="396" t="s">
        <v>877</v>
      </c>
      <c r="AK2" s="396" t="s">
        <v>878</v>
      </c>
      <c r="AL2" s="396" t="s">
        <v>878</v>
      </c>
      <c r="AM2" s="396" t="s">
        <v>878</v>
      </c>
      <c r="AN2" s="396" t="s">
        <v>879</v>
      </c>
      <c r="AO2" s="396" t="s">
        <v>879</v>
      </c>
      <c r="AP2" s="396" t="s">
        <v>879</v>
      </c>
      <c r="AQ2" s="396" t="s">
        <v>883</v>
      </c>
      <c r="AR2" s="396" t="s">
        <v>883</v>
      </c>
      <c r="AS2" s="396" t="s">
        <v>876</v>
      </c>
      <c r="AT2" s="396" t="s">
        <v>877</v>
      </c>
      <c r="AU2" s="396" t="s">
        <v>877</v>
      </c>
      <c r="AV2" s="396" t="s">
        <v>877</v>
      </c>
      <c r="AW2" s="396" t="s">
        <v>877</v>
      </c>
      <c r="AX2" s="396" t="s">
        <v>877</v>
      </c>
      <c r="AY2" s="396" t="s">
        <v>877</v>
      </c>
      <c r="AZ2" s="396" t="s">
        <v>877</v>
      </c>
      <c r="BA2" s="396" t="s">
        <v>878</v>
      </c>
      <c r="BB2" s="396" t="s">
        <v>878</v>
      </c>
      <c r="BC2" s="396" t="s">
        <v>879</v>
      </c>
      <c r="BD2" s="396" t="s">
        <v>879</v>
      </c>
      <c r="BE2" s="396" t="s">
        <v>876</v>
      </c>
      <c r="BF2" s="396" t="s">
        <v>876</v>
      </c>
      <c r="BG2" s="396" t="s">
        <v>876</v>
      </c>
      <c r="BH2" s="396" t="s">
        <v>877</v>
      </c>
      <c r="BI2" s="396" t="s">
        <v>878</v>
      </c>
      <c r="BJ2" s="396" t="s">
        <v>879</v>
      </c>
    </row>
    <row r="3" spans="1:62">
      <c r="A3" s="396" t="s">
        <v>1008</v>
      </c>
      <c r="B3" s="396">
        <v>1.1000000000000001</v>
      </c>
      <c r="C3" s="396">
        <v>1.2</v>
      </c>
      <c r="D3" s="396">
        <v>2.1</v>
      </c>
      <c r="E3" s="396">
        <v>2.2000000000000002</v>
      </c>
      <c r="F3" s="396">
        <v>2.2999999999999998</v>
      </c>
      <c r="G3" s="396">
        <v>3.1</v>
      </c>
      <c r="H3" s="396">
        <v>3.2</v>
      </c>
      <c r="I3" s="396">
        <v>3.3</v>
      </c>
      <c r="J3" s="396">
        <v>4.0999999999999996</v>
      </c>
      <c r="K3" s="396">
        <v>4.2</v>
      </c>
      <c r="L3" s="396">
        <v>1.1000000000000001</v>
      </c>
      <c r="M3" s="396">
        <v>2.1</v>
      </c>
      <c r="N3" s="396">
        <v>3.1</v>
      </c>
      <c r="O3" s="396">
        <v>4.0999999999999996</v>
      </c>
      <c r="P3" s="399">
        <v>1.1000000000000001</v>
      </c>
      <c r="Q3" s="399">
        <v>1.2</v>
      </c>
      <c r="R3" s="399">
        <v>1.3</v>
      </c>
      <c r="S3" s="399">
        <v>1.4</v>
      </c>
      <c r="T3" s="399">
        <v>1.5</v>
      </c>
      <c r="U3" s="399">
        <v>1.6</v>
      </c>
      <c r="V3" s="399">
        <v>1.7</v>
      </c>
      <c r="W3" s="399">
        <v>1.8</v>
      </c>
      <c r="X3" s="399">
        <v>1.9</v>
      </c>
      <c r="Y3" s="400">
        <v>1.1000000000000001</v>
      </c>
      <c r="Z3" s="396">
        <v>1.1100000000000001</v>
      </c>
      <c r="AA3" s="396">
        <v>2.1</v>
      </c>
      <c r="AB3" s="396">
        <v>2.2000000000000002</v>
      </c>
      <c r="AC3" s="396">
        <v>2.2999999999999998</v>
      </c>
      <c r="AD3" s="396">
        <v>2.4</v>
      </c>
      <c r="AE3" s="396">
        <v>2.5</v>
      </c>
      <c r="AF3" s="396">
        <v>2.6</v>
      </c>
      <c r="AG3" s="396">
        <v>2.7</v>
      </c>
      <c r="AH3" s="399">
        <v>1.1000000000000001</v>
      </c>
      <c r="AI3" s="399">
        <v>1.2</v>
      </c>
      <c r="AJ3" s="396">
        <v>2.1</v>
      </c>
      <c r="AK3" s="396">
        <v>3.1</v>
      </c>
      <c r="AL3" s="396">
        <v>3.2</v>
      </c>
      <c r="AM3" s="396">
        <v>3.3</v>
      </c>
      <c r="AN3" s="396">
        <v>4.0999999999999996</v>
      </c>
      <c r="AO3" s="396">
        <v>4.2</v>
      </c>
      <c r="AP3" s="396">
        <v>4.3</v>
      </c>
      <c r="AQ3" s="396">
        <v>5.0999999999999996</v>
      </c>
      <c r="AR3" s="396">
        <v>5.0999999999999996</v>
      </c>
      <c r="AS3" s="399">
        <v>1.1000000000000001</v>
      </c>
      <c r="AT3" s="396">
        <v>2.2000000000000002</v>
      </c>
      <c r="AU3" s="396">
        <v>2.2999999999999998</v>
      </c>
      <c r="AV3" s="396">
        <v>2.4</v>
      </c>
      <c r="AW3" s="396">
        <v>2.5</v>
      </c>
      <c r="AX3" s="396">
        <v>2.6</v>
      </c>
      <c r="AY3" s="396">
        <v>2.7</v>
      </c>
      <c r="AZ3" s="396">
        <v>2.8</v>
      </c>
      <c r="BA3" s="396">
        <v>3.1</v>
      </c>
      <c r="BB3" s="396">
        <v>3.2</v>
      </c>
      <c r="BC3" s="396">
        <v>4.0999999999999996</v>
      </c>
      <c r="BD3" s="396">
        <v>4.2</v>
      </c>
      <c r="BE3" s="399">
        <v>1.1000000000000001</v>
      </c>
      <c r="BF3" s="399">
        <v>1.2</v>
      </c>
      <c r="BG3" s="399">
        <v>1.3</v>
      </c>
      <c r="BH3" s="396">
        <v>2.1</v>
      </c>
      <c r="BI3" s="396">
        <v>3.1</v>
      </c>
      <c r="BJ3" s="396">
        <v>4.0999999999999996</v>
      </c>
    </row>
    <row r="4" spans="1:62">
      <c r="A4" s="396" t="s">
        <v>1009</v>
      </c>
      <c r="B4" s="396">
        <f>SUM(Milestone_1!AI9:AI21)</f>
        <v>0</v>
      </c>
      <c r="C4" s="396">
        <f>SUM(Milestone_1!AI25:AI40)</f>
        <v>0</v>
      </c>
      <c r="D4" s="396">
        <f>SUM(Milestone_1!AI45)</f>
        <v>0</v>
      </c>
      <c r="E4" s="396">
        <f>SUM(Milestone_1!AI52:AI82)</f>
        <v>0</v>
      </c>
      <c r="F4" s="396">
        <f>Milestone_1!AI88</f>
        <v>0</v>
      </c>
      <c r="G4" s="396">
        <f>Milestone_1!AI95</f>
        <v>0</v>
      </c>
      <c r="H4" s="396">
        <f>Milestone_1!AI101</f>
        <v>0</v>
      </c>
      <c r="I4" s="396">
        <f>Milestone_1!AI106</f>
        <v>0</v>
      </c>
      <c r="J4" s="396">
        <f>Milestone_1!AI113</f>
        <v>0</v>
      </c>
      <c r="K4" s="396">
        <f>SUM(Milestone_1!AI119:AI128)</f>
        <v>0</v>
      </c>
      <c r="L4" s="396">
        <f>Milestone_2!AF18</f>
        <v>0</v>
      </c>
      <c r="M4" s="396">
        <f>Milestone_2!AF25</f>
        <v>0</v>
      </c>
      <c r="N4" s="396">
        <f>Milestone_2!AF28</f>
        <v>0</v>
      </c>
      <c r="O4" s="396">
        <f>SUM(Milestone_2!AF41:AF44)</f>
        <v>0</v>
      </c>
      <c r="P4" s="396">
        <f>Milestone_3!AG7</f>
        <v>0</v>
      </c>
      <c r="Q4" s="396">
        <f>Milestone_3!AG13</f>
        <v>0</v>
      </c>
      <c r="R4" s="396">
        <f>Milestone_3!AG19</f>
        <v>0</v>
      </c>
      <c r="S4" s="396">
        <f>Milestone_3!AG24</f>
        <v>0</v>
      </c>
      <c r="T4" s="396">
        <f>Milestone_3!AG29</f>
        <v>0</v>
      </c>
      <c r="U4" s="396">
        <f>Milestone_3!AG35</f>
        <v>0</v>
      </c>
      <c r="V4" s="396">
        <f>Milestone_3!AG41</f>
        <v>0</v>
      </c>
      <c r="W4" s="396">
        <f>Milestone_3!AG46</f>
        <v>0</v>
      </c>
      <c r="X4" s="396">
        <f>Milestone_3!AG53</f>
        <v>0</v>
      </c>
      <c r="Y4" s="396">
        <f>Milestone_3!AG58</f>
        <v>0</v>
      </c>
      <c r="Z4" s="396">
        <f>Milestone_3!AG63</f>
        <v>0</v>
      </c>
      <c r="AA4" s="396">
        <f>SUM(Milestone_3!AG80:AG84)</f>
        <v>0</v>
      </c>
      <c r="AB4" s="396">
        <f>Milestone_3!AG86</f>
        <v>0</v>
      </c>
      <c r="AC4" s="396">
        <f>Milestone_3!AG93</f>
        <v>0</v>
      </c>
      <c r="AD4" s="396">
        <f>Milestone_3!AG98</f>
        <v>0</v>
      </c>
      <c r="AE4" s="396">
        <f>SUM(Milestone_3!AG103:AG105)</f>
        <v>0</v>
      </c>
      <c r="AF4" s="396">
        <f>SUM(Milestone_3!AG111:AG114)</f>
        <v>0</v>
      </c>
      <c r="AG4" s="396">
        <f>SUM(Milestone_3!AG118:AG122)</f>
        <v>0</v>
      </c>
      <c r="AH4" s="396">
        <f>SUM(Milestone_4!AU14,Milestone_4!AU8)</f>
        <v>0</v>
      </c>
      <c r="AI4" s="396">
        <f>SUM(Milestone_4!AP19:AP23)</f>
        <v>0</v>
      </c>
      <c r="AJ4" s="396">
        <f>SUM(Milestone_4!AP29:AP32)</f>
        <v>0</v>
      </c>
      <c r="AK4" s="396">
        <f>Milestone_4!AP38</f>
        <v>0</v>
      </c>
      <c r="AL4" s="396">
        <f>SUM(Milestone_4!AP43:AP48)</f>
        <v>0</v>
      </c>
      <c r="AM4" s="396">
        <f>Milestone_4!AP52</f>
        <v>0</v>
      </c>
      <c r="AN4" s="396">
        <f>SUM(Milestone_4!AP59:AP66)</f>
        <v>0</v>
      </c>
      <c r="AO4" s="396">
        <f>SUM(Milestone_4!AP68:AP73)</f>
        <v>0</v>
      </c>
      <c r="AP4" s="396">
        <f>SUM(Milestone_4!AP75:AP81)</f>
        <v>0</v>
      </c>
      <c r="AQ4" s="396">
        <f>Milestone_4!AP85</f>
        <v>0</v>
      </c>
      <c r="AR4" s="396">
        <f>SUM(Milestone_4!AP90:AP96)</f>
        <v>0</v>
      </c>
      <c r="AS4" s="396">
        <f>Milestone_5!AH7</f>
        <v>0</v>
      </c>
      <c r="AT4" s="396">
        <f>SUM(Milestone_5!AH34:AH38)</f>
        <v>0</v>
      </c>
      <c r="AU4" s="396">
        <f>SUM(Milestone_5!AH42:AH47)</f>
        <v>0</v>
      </c>
      <c r="AV4" s="396">
        <f>SUM(Milestone_5!AH51:AH54)</f>
        <v>0</v>
      </c>
      <c r="AW4" s="396">
        <f>SUM(Milestone_5!AH59:AH62)</f>
        <v>0</v>
      </c>
      <c r="AX4" s="396">
        <f>SUM(Milestone_5!AH66:AH68)</f>
        <v>0</v>
      </c>
      <c r="AY4" s="396">
        <f>SUM(Milestone_5!AH72:AH75)</f>
        <v>0</v>
      </c>
      <c r="AZ4" s="396">
        <f>SUM(Milestone_5!AH80:AH83)</f>
        <v>0</v>
      </c>
      <c r="BA4" s="396">
        <f>SUM(Milestone_5!AH89:AH96)</f>
        <v>0</v>
      </c>
      <c r="BB4" s="396">
        <f>SUM(Milestone_5!AH100:AH107)</f>
        <v>0</v>
      </c>
      <c r="BC4" s="396">
        <f>Milestone_5!AH112</f>
        <v>0</v>
      </c>
      <c r="BD4" s="396">
        <f>Milestone_5!AH115</f>
        <v>0</v>
      </c>
      <c r="BE4" s="396">
        <f>Ongoing_Implementation!AG7</f>
        <v>0</v>
      </c>
      <c r="BF4" s="396">
        <f>Ongoing_Implementation!AG13</f>
        <v>0</v>
      </c>
      <c r="BG4" s="396">
        <f>Ongoing_Implementation!AG20</f>
        <v>0</v>
      </c>
      <c r="BH4" s="396">
        <f>Ongoing_Implementation!AG27</f>
        <v>0</v>
      </c>
      <c r="BI4" s="396">
        <f>Ongoing_Implementation!AG34</f>
        <v>0</v>
      </c>
      <c r="BJ4" s="396">
        <f>Ongoing_Implementation!AG42</f>
        <v>0</v>
      </c>
    </row>
    <row r="5" spans="1:62">
      <c r="A5" s="396" t="s">
        <v>1010</v>
      </c>
      <c r="B5" s="396">
        <f>B4*E8</f>
        <v>0</v>
      </c>
      <c r="C5" s="396">
        <f>C4*E8</f>
        <v>0</v>
      </c>
      <c r="D5" s="396">
        <f>D4*E9</f>
        <v>0</v>
      </c>
      <c r="E5" s="396">
        <f>E4*E9</f>
        <v>0</v>
      </c>
      <c r="F5" s="396">
        <f>F4*E9</f>
        <v>0</v>
      </c>
      <c r="G5" s="396">
        <f>G4*$E$10</f>
        <v>0</v>
      </c>
      <c r="H5" s="396">
        <f>H4*$E$10</f>
        <v>0</v>
      </c>
      <c r="I5" s="396">
        <f>I4*$E$10</f>
        <v>0</v>
      </c>
      <c r="J5" s="396">
        <f>J4*$E$11</f>
        <v>0</v>
      </c>
      <c r="K5" s="396">
        <f>K4*$E$11</f>
        <v>0</v>
      </c>
      <c r="L5" s="396">
        <f>L4*E12</f>
        <v>0</v>
      </c>
      <c r="M5" s="396">
        <f>M4*E13</f>
        <v>0</v>
      </c>
      <c r="N5" s="396">
        <f>N4*E14</f>
        <v>0</v>
      </c>
      <c r="O5" s="396">
        <f>O4*E15</f>
        <v>0</v>
      </c>
      <c r="P5" s="396">
        <f>P4*$E$16</f>
        <v>0</v>
      </c>
      <c r="Q5" s="396">
        <f>Q4*$E$16</f>
        <v>0</v>
      </c>
      <c r="R5" s="396">
        <f t="shared" ref="R5:Z5" si="0">R4*$E$16</f>
        <v>0</v>
      </c>
      <c r="S5" s="396">
        <f t="shared" si="0"/>
        <v>0</v>
      </c>
      <c r="T5" s="396">
        <f t="shared" si="0"/>
        <v>0</v>
      </c>
      <c r="U5" s="396">
        <f t="shared" si="0"/>
        <v>0</v>
      </c>
      <c r="V5" s="396">
        <f t="shared" si="0"/>
        <v>0</v>
      </c>
      <c r="W5" s="396">
        <f t="shared" si="0"/>
        <v>0</v>
      </c>
      <c r="X5" s="396">
        <f t="shared" si="0"/>
        <v>0</v>
      </c>
      <c r="Y5" s="396">
        <f t="shared" si="0"/>
        <v>0</v>
      </c>
      <c r="Z5" s="396">
        <f t="shared" si="0"/>
        <v>0</v>
      </c>
      <c r="AA5" s="396">
        <f>AA4*$E$17</f>
        <v>0</v>
      </c>
      <c r="AB5" s="396">
        <f t="shared" ref="AB5:AF5" si="1">AB4*$E$17</f>
        <v>0</v>
      </c>
      <c r="AC5" s="396">
        <f t="shared" si="1"/>
        <v>0</v>
      </c>
      <c r="AD5" s="396">
        <f t="shared" si="1"/>
        <v>0</v>
      </c>
      <c r="AE5" s="396">
        <f t="shared" si="1"/>
        <v>0</v>
      </c>
      <c r="AF5" s="396">
        <f t="shared" si="1"/>
        <v>0</v>
      </c>
      <c r="AG5" s="396">
        <f>AG4*$E$17</f>
        <v>0</v>
      </c>
      <c r="AH5" s="396">
        <f>AH4*$E$18</f>
        <v>0</v>
      </c>
      <c r="AI5" s="396">
        <f>AI4*$E$18</f>
        <v>0</v>
      </c>
      <c r="AJ5" s="396">
        <f>AJ4*$E$19</f>
        <v>0</v>
      </c>
      <c r="AK5" s="396">
        <f>AK4*$E$20</f>
        <v>0</v>
      </c>
      <c r="AL5" s="396">
        <f t="shared" ref="AL5:AM5" si="2">AL4*$E$20</f>
        <v>0</v>
      </c>
      <c r="AM5" s="396">
        <f t="shared" si="2"/>
        <v>0</v>
      </c>
      <c r="AN5" s="396">
        <f>AN4*$E$21</f>
        <v>0</v>
      </c>
      <c r="AO5" s="396">
        <f t="shared" ref="AO5:AP5" si="3">AO4*$E$21</f>
        <v>0</v>
      </c>
      <c r="AP5" s="396">
        <f t="shared" si="3"/>
        <v>0</v>
      </c>
      <c r="AQ5" s="396">
        <f>AQ4*$E$22</f>
        <v>0</v>
      </c>
      <c r="AR5" s="396">
        <f>AR4*$E$22</f>
        <v>0</v>
      </c>
      <c r="AS5" s="396">
        <f>AS4*E23</f>
        <v>0</v>
      </c>
      <c r="AT5" s="396">
        <f>AT4*$E$24</f>
        <v>0</v>
      </c>
      <c r="AU5" s="396">
        <f t="shared" ref="AU5:AZ5" si="4">AU4*$E$24</f>
        <v>0</v>
      </c>
      <c r="AV5" s="396">
        <f t="shared" si="4"/>
        <v>0</v>
      </c>
      <c r="AW5" s="396">
        <f t="shared" si="4"/>
        <v>0</v>
      </c>
      <c r="AX5" s="396">
        <f t="shared" si="4"/>
        <v>0</v>
      </c>
      <c r="AY5" s="396">
        <f t="shared" si="4"/>
        <v>0</v>
      </c>
      <c r="AZ5" s="396">
        <f t="shared" si="4"/>
        <v>0</v>
      </c>
      <c r="BA5" s="396">
        <f>BA4*$E$25</f>
        <v>0</v>
      </c>
      <c r="BB5" s="396">
        <f>BB4*$E$25</f>
        <v>0</v>
      </c>
      <c r="BC5" s="396">
        <f>BC4*$E$26</f>
        <v>0</v>
      </c>
      <c r="BD5" s="396">
        <f>BD4*$E$26</f>
        <v>0</v>
      </c>
      <c r="BE5" s="396">
        <f>BE4*$E$27</f>
        <v>0</v>
      </c>
      <c r="BF5" s="396">
        <f t="shared" ref="BF5:BG5" si="5">BF4*$E$27</f>
        <v>0</v>
      </c>
      <c r="BG5" s="396">
        <f t="shared" si="5"/>
        <v>0</v>
      </c>
      <c r="BH5" s="396">
        <f>BH4*E28</f>
        <v>0</v>
      </c>
      <c r="BI5" s="396">
        <f>BI4*E29</f>
        <v>0</v>
      </c>
      <c r="BJ5" s="396">
        <f>BJ4*E30</f>
        <v>0</v>
      </c>
    </row>
    <row r="6" spans="1:62" ht="15.6" thickBot="1"/>
    <row r="7" spans="1:62" ht="45.6" thickBot="1">
      <c r="A7" s="539" t="s">
        <v>871</v>
      </c>
      <c r="B7" s="542" t="s">
        <v>872</v>
      </c>
      <c r="C7" s="457" t="s">
        <v>873</v>
      </c>
      <c r="D7" s="458" t="s">
        <v>874</v>
      </c>
      <c r="E7" s="542" t="s">
        <v>1011</v>
      </c>
    </row>
    <row r="8" spans="1:62">
      <c r="A8" s="429" t="s">
        <v>875</v>
      </c>
      <c r="B8" s="541" t="s">
        <v>876</v>
      </c>
      <c r="C8" s="540">
        <f>Milestone_1!AM9</f>
        <v>23</v>
      </c>
      <c r="D8" s="541">
        <f>Milestone_1!AN9</f>
        <v>4</v>
      </c>
      <c r="E8" s="543">
        <f>Milestone_1!AO9</f>
        <v>0.17391304347826086</v>
      </c>
      <c r="F8" s="18">
        <f>SUM(D8:D11)</f>
        <v>18</v>
      </c>
    </row>
    <row r="9" spans="1:62">
      <c r="A9" s="300" t="s">
        <v>875</v>
      </c>
      <c r="B9" s="301" t="s">
        <v>877</v>
      </c>
      <c r="C9" s="18">
        <f>Milestone_1!AM10</f>
        <v>42</v>
      </c>
      <c r="D9" s="301">
        <f>Milestone_1!AN10</f>
        <v>7</v>
      </c>
      <c r="E9" s="544">
        <f>Milestone_1!AO10</f>
        <v>0.16666666666666666</v>
      </c>
    </row>
    <row r="10" spans="1:62">
      <c r="A10" s="300" t="s">
        <v>875</v>
      </c>
      <c r="B10" s="301" t="s">
        <v>878</v>
      </c>
      <c r="C10" s="18">
        <f>Milestone_1!AM11</f>
        <v>21</v>
      </c>
      <c r="D10" s="301">
        <f>Milestone_1!AN11</f>
        <v>4</v>
      </c>
      <c r="E10" s="544">
        <f>Milestone_1!AO11</f>
        <v>0.19047619047619047</v>
      </c>
    </row>
    <row r="11" spans="1:62" ht="15.6" thickBot="1">
      <c r="A11" s="459" t="s">
        <v>875</v>
      </c>
      <c r="B11" s="460" t="s">
        <v>879</v>
      </c>
      <c r="C11" s="63">
        <f>Milestone_1!AM12</f>
        <v>15</v>
      </c>
      <c r="D11" s="460">
        <f>Milestone_1!AN12</f>
        <v>3</v>
      </c>
      <c r="E11" s="545">
        <f>Milestone_1!AO12</f>
        <v>0.2</v>
      </c>
    </row>
    <row r="12" spans="1:62">
      <c r="A12" s="300" t="s">
        <v>880</v>
      </c>
      <c r="B12" s="301" t="s">
        <v>876</v>
      </c>
      <c r="C12" s="18">
        <f>Milestone_2!AJ7</f>
        <v>10</v>
      </c>
      <c r="D12" s="301">
        <f>Milestone_2!AK7</f>
        <v>2</v>
      </c>
      <c r="E12" s="544">
        <f>Milestone_2!AL7</f>
        <v>0.2</v>
      </c>
      <c r="F12" s="18">
        <f>SUM(D12:D15)</f>
        <v>15</v>
      </c>
    </row>
    <row r="13" spans="1:62">
      <c r="A13" s="300" t="s">
        <v>880</v>
      </c>
      <c r="B13" s="301" t="s">
        <v>877</v>
      </c>
      <c r="C13" s="18">
        <f>Milestone_2!AJ8</f>
        <v>3</v>
      </c>
      <c r="D13" s="301">
        <f>Milestone_2!AK8</f>
        <v>6</v>
      </c>
      <c r="E13" s="544">
        <f>Milestone_2!AL8</f>
        <v>2</v>
      </c>
    </row>
    <row r="14" spans="1:62">
      <c r="A14" s="300" t="s">
        <v>880</v>
      </c>
      <c r="B14" s="301" t="s">
        <v>878</v>
      </c>
      <c r="C14" s="18">
        <f>Milestone_2!AJ9</f>
        <v>9</v>
      </c>
      <c r="D14" s="301">
        <f>Milestone_2!AK9</f>
        <v>4</v>
      </c>
      <c r="E14" s="544">
        <f>Milestone_2!AL9</f>
        <v>0.44444444444444442</v>
      </c>
    </row>
    <row r="15" spans="1:62" ht="15.6" thickBot="1">
      <c r="A15" s="459" t="s">
        <v>880</v>
      </c>
      <c r="B15" s="460" t="s">
        <v>879</v>
      </c>
      <c r="C15" s="63">
        <f>Milestone_2!AJ10</f>
        <v>4</v>
      </c>
      <c r="D15" s="460">
        <f>Milestone_2!AK10</f>
        <v>3</v>
      </c>
      <c r="E15" s="545">
        <f>Milestone_2!AL10</f>
        <v>0.75</v>
      </c>
    </row>
    <row r="16" spans="1:62">
      <c r="A16" s="300" t="s">
        <v>881</v>
      </c>
      <c r="B16" s="301" t="s">
        <v>876</v>
      </c>
      <c r="C16" s="18">
        <f>Milestone_3!AK7</f>
        <v>70</v>
      </c>
      <c r="D16" s="301">
        <f>Milestone_3!AL7</f>
        <v>15</v>
      </c>
      <c r="E16" s="544">
        <f>Milestone_3!AM7</f>
        <v>0.21428571428571427</v>
      </c>
      <c r="F16" s="18">
        <f>D16+D17</f>
        <v>25</v>
      </c>
    </row>
    <row r="17" spans="1:6" ht="15.6" thickBot="1">
      <c r="A17" s="459" t="s">
        <v>881</v>
      </c>
      <c r="B17" s="460" t="s">
        <v>877</v>
      </c>
      <c r="C17" s="63">
        <f>Milestone_3!AK8</f>
        <v>38</v>
      </c>
      <c r="D17" s="460">
        <f>Milestone_3!AL8</f>
        <v>10</v>
      </c>
      <c r="E17" s="545">
        <f>Milestone_3!AM8</f>
        <v>0.26315789473684209</v>
      </c>
    </row>
    <row r="18" spans="1:6">
      <c r="A18" s="300" t="s">
        <v>882</v>
      </c>
      <c r="B18" s="301" t="s">
        <v>876</v>
      </c>
      <c r="C18" s="18">
        <f>Milestone_4!AX7</f>
        <v>35</v>
      </c>
      <c r="D18" s="301">
        <f>Milestone_4!AY7</f>
        <v>4</v>
      </c>
      <c r="E18" s="544">
        <f>Milestone_4!AZ7</f>
        <v>0.11428571428571428</v>
      </c>
      <c r="F18" s="18">
        <f>SUM(D18:D22)</f>
        <v>22</v>
      </c>
    </row>
    <row r="19" spans="1:6">
      <c r="A19" s="300" t="s">
        <v>882</v>
      </c>
      <c r="B19" s="301" t="s">
        <v>877</v>
      </c>
      <c r="C19" s="18">
        <f>Milestone_4!AX8</f>
        <v>8</v>
      </c>
      <c r="D19" s="301">
        <f>Milestone_4!AY8</f>
        <v>3</v>
      </c>
      <c r="E19" s="544">
        <f>Milestone_4!AZ8</f>
        <v>0.375</v>
      </c>
    </row>
    <row r="20" spans="1:6">
      <c r="A20" s="300" t="s">
        <v>882</v>
      </c>
      <c r="B20" s="301" t="s">
        <v>878</v>
      </c>
      <c r="C20" s="18">
        <f>Milestone_4!AX9</f>
        <v>22</v>
      </c>
      <c r="D20" s="301">
        <f>Milestone_4!AY9</f>
        <v>6</v>
      </c>
      <c r="E20" s="544">
        <f>Milestone_4!AZ9</f>
        <v>0.27272727272727271</v>
      </c>
    </row>
    <row r="21" spans="1:6">
      <c r="A21" s="300" t="s">
        <v>882</v>
      </c>
      <c r="B21" s="301" t="s">
        <v>879</v>
      </c>
      <c r="C21" s="18">
        <f>Milestone_4!AX10</f>
        <v>16</v>
      </c>
      <c r="D21" s="301">
        <f>Milestone_4!AY10</f>
        <v>6</v>
      </c>
      <c r="E21" s="544">
        <f>Milestone_4!AZ10</f>
        <v>0.375</v>
      </c>
    </row>
    <row r="22" spans="1:6" ht="15.6" thickBot="1">
      <c r="A22" s="459" t="s">
        <v>882</v>
      </c>
      <c r="B22" s="460" t="s">
        <v>883</v>
      </c>
      <c r="C22" s="63">
        <f>Milestone_4!AX11</f>
        <v>12</v>
      </c>
      <c r="D22" s="460">
        <f>Milestone_4!AY11</f>
        <v>3</v>
      </c>
      <c r="E22" s="545">
        <f>Milestone_4!AZ11</f>
        <v>0.25</v>
      </c>
    </row>
    <row r="23" spans="1:6">
      <c r="A23" s="300" t="s">
        <v>884</v>
      </c>
      <c r="B23" s="301" t="s">
        <v>876</v>
      </c>
      <c r="C23" s="18">
        <f>Milestone_5!AL7</f>
        <v>7</v>
      </c>
      <c r="D23" s="301">
        <f>Milestone_5!AM7</f>
        <v>7</v>
      </c>
      <c r="E23" s="544">
        <f>Milestone_5!AN7</f>
        <v>1</v>
      </c>
      <c r="F23" s="18">
        <f>SUM(D23:D26)</f>
        <v>15</v>
      </c>
    </row>
    <row r="24" spans="1:6">
      <c r="A24" s="300" t="s">
        <v>884</v>
      </c>
      <c r="B24" s="301" t="s">
        <v>877</v>
      </c>
      <c r="C24" s="18">
        <f>Milestone_5!AL8</f>
        <v>46</v>
      </c>
      <c r="D24" s="301">
        <f>Milestone_5!AM8</f>
        <v>4</v>
      </c>
      <c r="E24" s="544">
        <f>Milestone_5!AN8</f>
        <v>8.6956521739130432E-2</v>
      </c>
    </row>
    <row r="25" spans="1:6">
      <c r="A25" s="300" t="s">
        <v>884</v>
      </c>
      <c r="B25" s="301" t="s">
        <v>878</v>
      </c>
      <c r="C25" s="18">
        <f>Milestone_5!AL9</f>
        <v>16</v>
      </c>
      <c r="D25" s="301">
        <f>Milestone_5!AM9</f>
        <v>2</v>
      </c>
      <c r="E25" s="544">
        <f>Milestone_5!AN9</f>
        <v>0.125</v>
      </c>
    </row>
    <row r="26" spans="1:6" ht="15.6" thickBot="1">
      <c r="A26" s="459" t="s">
        <v>884</v>
      </c>
      <c r="B26" s="460" t="s">
        <v>879</v>
      </c>
      <c r="C26" s="63">
        <f>Milestone_5!AL10</f>
        <v>10</v>
      </c>
      <c r="D26" s="460">
        <f>Milestone_5!AM10</f>
        <v>2</v>
      </c>
      <c r="E26" s="545">
        <f>Milestone_5!AN10</f>
        <v>0.2</v>
      </c>
    </row>
    <row r="27" spans="1:6">
      <c r="A27" s="300" t="s">
        <v>885</v>
      </c>
      <c r="B27" s="301" t="s">
        <v>876</v>
      </c>
      <c r="C27" s="18">
        <f>Ongoing_Implementation!AK7</f>
        <v>19</v>
      </c>
      <c r="D27" s="301">
        <f>Ongoing_Implementation!AL7</f>
        <v>2</v>
      </c>
      <c r="E27" s="544">
        <f>Ongoing_Implementation!AM7</f>
        <v>0.10526315789473684</v>
      </c>
      <c r="F27" s="18">
        <f>SUM(D27:D30)</f>
        <v>5</v>
      </c>
    </row>
    <row r="28" spans="1:6">
      <c r="A28" s="300" t="s">
        <v>885</v>
      </c>
      <c r="B28" s="301" t="s">
        <v>877</v>
      </c>
      <c r="C28" s="18">
        <f>Ongoing_Implementation!AK8</f>
        <v>7</v>
      </c>
      <c r="D28" s="301">
        <f>Ongoing_Implementation!AL8</f>
        <v>1</v>
      </c>
      <c r="E28" s="544">
        <f>Ongoing_Implementation!AM8</f>
        <v>0.14285714285714285</v>
      </c>
    </row>
    <row r="29" spans="1:6">
      <c r="A29" s="300" t="s">
        <v>885</v>
      </c>
      <c r="B29" s="301" t="s">
        <v>878</v>
      </c>
      <c r="C29" s="18">
        <f>Ongoing_Implementation!AK9</f>
        <v>7</v>
      </c>
      <c r="D29" s="301">
        <f>Ongoing_Implementation!AL9</f>
        <v>1</v>
      </c>
      <c r="E29" s="544">
        <f>Ongoing_Implementation!AM9</f>
        <v>0.14285714285714285</v>
      </c>
    </row>
    <row r="30" spans="1:6" ht="15.6" thickBot="1">
      <c r="A30" s="459" t="s">
        <v>885</v>
      </c>
      <c r="B30" s="460" t="s">
        <v>879</v>
      </c>
      <c r="C30" s="63">
        <f>Ongoing_Implementation!AK10</f>
        <v>3</v>
      </c>
      <c r="D30" s="460">
        <f>Ongoing_Implementation!AL10</f>
        <v>1</v>
      </c>
      <c r="E30" s="545">
        <f>Ongoing_Implementation!AM10</f>
        <v>0.33333333333333331</v>
      </c>
    </row>
  </sheetData>
  <phoneticPr fontId="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0BEE-9F50-4D5A-A141-DC26FB1025E5}">
  <sheetPr codeName="Sheet14">
    <tabColor theme="6" tint="0.39997558519241921"/>
  </sheetPr>
  <dimension ref="A1:AV121"/>
  <sheetViews>
    <sheetView showGridLines="0" zoomScale="78" zoomScaleNormal="100" workbookViewId="0">
      <selection activeCell="AL46" sqref="AL46"/>
    </sheetView>
  </sheetViews>
  <sheetFormatPr defaultColWidth="8.77734375" defaultRowHeight="17.399999999999999"/>
  <cols>
    <col min="1" max="1" width="3.21875" style="7" customWidth="1"/>
    <col min="2" max="2" width="3.44140625" style="7" customWidth="1"/>
    <col min="3" max="6" width="6.109375" style="7" customWidth="1"/>
    <col min="7" max="9" width="3.21875" style="7" customWidth="1"/>
    <col min="10" max="10" width="11" style="124" bestFit="1" customWidth="1"/>
    <col min="11" max="13" width="17.77734375" style="215" customWidth="1"/>
    <col min="14" max="14" width="3.109375" style="7" customWidth="1"/>
    <col min="15" max="15" width="48.6640625" style="91" bestFit="1" customWidth="1"/>
    <col min="16" max="16" width="46.44140625" style="125" bestFit="1" customWidth="1"/>
    <col min="17" max="18" width="19.21875" style="125" customWidth="1"/>
    <col min="19" max="19" width="3.109375" style="7" customWidth="1"/>
    <col min="20" max="23" width="5.33203125" style="91" customWidth="1"/>
    <col min="24" max="26" width="3.21875" style="7" customWidth="1"/>
    <col min="27" max="30" width="22.109375" style="302" customWidth="1"/>
    <col min="31" max="31" width="3.21875" style="7" customWidth="1"/>
    <col min="32" max="32" width="7.21875" style="7" customWidth="1"/>
    <col min="33" max="33" width="18.5546875" style="98" bestFit="1" customWidth="1"/>
    <col min="34" max="34" width="17" style="98" bestFit="1" customWidth="1"/>
    <col min="35" max="35" width="21" style="98" bestFit="1" customWidth="1"/>
    <col min="36" max="36" width="9.21875" style="99" customWidth="1"/>
    <col min="37" max="37" width="9.77734375" style="98" customWidth="1"/>
    <col min="38" max="38" width="16.44140625" style="118" bestFit="1" customWidth="1"/>
    <col min="39" max="39" width="13.6640625" style="94" bestFit="1" customWidth="1"/>
    <col min="40" max="40" width="12.88671875" style="94" customWidth="1"/>
    <col min="41" max="41" width="8.77734375" style="99"/>
    <col min="42" max="16384" width="8.77734375" style="7"/>
  </cols>
  <sheetData>
    <row r="1" spans="2:48" ht="18" thickBot="1"/>
    <row r="2" spans="2:48" ht="16.05" customHeight="1">
      <c r="B2" s="965" t="s">
        <v>61</v>
      </c>
      <c r="C2" s="966"/>
      <c r="D2" s="966"/>
      <c r="E2" s="966"/>
      <c r="F2" s="966"/>
      <c r="G2" s="967"/>
      <c r="H2" s="527"/>
      <c r="I2" s="965" t="s">
        <v>257</v>
      </c>
      <c r="J2" s="966"/>
      <c r="K2" s="966"/>
      <c r="L2" s="966"/>
      <c r="M2" s="966"/>
      <c r="N2" s="966"/>
      <c r="O2" s="966"/>
      <c r="P2" s="966"/>
      <c r="Q2" s="966"/>
      <c r="R2" s="966"/>
      <c r="S2" s="966"/>
      <c r="T2" s="966"/>
      <c r="U2" s="966"/>
      <c r="V2" s="966"/>
      <c r="W2" s="966"/>
      <c r="X2" s="967"/>
      <c r="Y2" s="527"/>
      <c r="Z2" s="965" t="s">
        <v>329</v>
      </c>
      <c r="AA2" s="966"/>
      <c r="AB2" s="966"/>
      <c r="AC2" s="966"/>
      <c r="AD2" s="966"/>
      <c r="AE2" s="967"/>
      <c r="AF2" s="136"/>
      <c r="AG2" s="394" t="s">
        <v>726</v>
      </c>
    </row>
    <row r="3" spans="2:48" ht="16.05" customHeight="1" thickBot="1">
      <c r="B3" s="968"/>
      <c r="C3" s="969"/>
      <c r="D3" s="969"/>
      <c r="E3" s="969"/>
      <c r="F3" s="969"/>
      <c r="G3" s="970"/>
      <c r="H3" s="527"/>
      <c r="I3" s="968"/>
      <c r="J3" s="969"/>
      <c r="K3" s="969"/>
      <c r="L3" s="969"/>
      <c r="M3" s="969"/>
      <c r="N3" s="969"/>
      <c r="O3" s="969"/>
      <c r="P3" s="969"/>
      <c r="Q3" s="969"/>
      <c r="R3" s="969"/>
      <c r="S3" s="969"/>
      <c r="T3" s="969"/>
      <c r="U3" s="969"/>
      <c r="V3" s="969"/>
      <c r="W3" s="969"/>
      <c r="X3" s="970"/>
      <c r="Y3" s="527"/>
      <c r="Z3" s="968"/>
      <c r="AA3" s="969"/>
      <c r="AB3" s="969"/>
      <c r="AC3" s="969"/>
      <c r="AD3" s="969"/>
      <c r="AE3" s="970"/>
      <c r="AF3" s="136"/>
      <c r="AG3" s="395">
        <f>Milestone_1!AL97</f>
        <v>0</v>
      </c>
    </row>
    <row r="4" spans="2:48">
      <c r="B4" s="2"/>
      <c r="C4" s="1"/>
      <c r="D4" s="1"/>
      <c r="E4" s="1"/>
      <c r="F4" s="1"/>
      <c r="G4" s="565"/>
      <c r="H4" s="168"/>
      <c r="I4" s="2"/>
      <c r="J4" s="56"/>
      <c r="K4" s="208"/>
      <c r="L4" s="208"/>
      <c r="M4" s="208"/>
      <c r="N4" s="1"/>
      <c r="O4" s="17"/>
      <c r="P4" s="25"/>
      <c r="Q4" s="25"/>
      <c r="R4" s="25"/>
      <c r="S4" s="1"/>
      <c r="T4" s="17"/>
      <c r="U4" s="17"/>
      <c r="V4" s="17"/>
      <c r="W4" s="17"/>
      <c r="X4" s="3"/>
      <c r="Y4" s="168"/>
      <c r="Z4" s="2"/>
      <c r="AA4" s="303"/>
      <c r="AB4" s="303"/>
      <c r="AC4" s="303"/>
      <c r="AD4" s="303"/>
      <c r="AE4" s="3"/>
      <c r="AF4" s="137"/>
    </row>
    <row r="5" spans="2:48">
      <c r="B5" s="2"/>
      <c r="C5" s="1"/>
      <c r="D5" s="1"/>
      <c r="E5" s="1"/>
      <c r="F5" s="1"/>
      <c r="G5" s="3"/>
      <c r="H5" s="168"/>
      <c r="I5" s="2"/>
      <c r="J5" s="28" t="s">
        <v>10</v>
      </c>
      <c r="K5" s="209" t="s">
        <v>271</v>
      </c>
      <c r="L5" s="208"/>
      <c r="M5" s="208"/>
      <c r="N5" s="1"/>
      <c r="O5" s="17"/>
      <c r="P5" s="25"/>
      <c r="Q5" s="25"/>
      <c r="R5" s="25"/>
      <c r="S5" s="1"/>
      <c r="T5" s="17"/>
      <c r="U5" s="17"/>
      <c r="V5" s="17"/>
      <c r="W5" s="17"/>
      <c r="X5" s="3"/>
      <c r="Y5" s="168"/>
      <c r="Z5" s="2"/>
      <c r="AA5" s="303"/>
      <c r="AB5" s="303"/>
      <c r="AC5" s="303"/>
      <c r="AD5" s="303"/>
      <c r="AE5" s="3"/>
      <c r="AF5" s="137"/>
      <c r="AG5" s="170" t="s">
        <v>316</v>
      </c>
      <c r="AH5" s="171" t="s">
        <v>11</v>
      </c>
      <c r="AI5" s="171" t="s">
        <v>365</v>
      </c>
      <c r="AK5" s="105" t="s">
        <v>313</v>
      </c>
      <c r="AL5" s="325" t="s">
        <v>314</v>
      </c>
      <c r="AM5" s="105" t="s">
        <v>314</v>
      </c>
      <c r="AN5" s="680" t="s">
        <v>368</v>
      </c>
    </row>
    <row r="6" spans="2:48">
      <c r="B6" s="2"/>
      <c r="C6" s="1"/>
      <c r="D6" s="1"/>
      <c r="E6" s="1"/>
      <c r="F6" s="1"/>
      <c r="G6" s="3"/>
      <c r="H6" s="168"/>
      <c r="I6" s="2"/>
      <c r="J6" s="56"/>
      <c r="K6" s="208"/>
      <c r="L6" s="208"/>
      <c r="M6" s="208"/>
      <c r="N6" s="1"/>
      <c r="O6" s="17"/>
      <c r="P6" s="25"/>
      <c r="Q6" s="25"/>
      <c r="R6" s="25"/>
      <c r="S6" s="1"/>
      <c r="T6" s="17"/>
      <c r="U6" s="17"/>
      <c r="V6" s="17"/>
      <c r="W6" s="17"/>
      <c r="X6" s="3"/>
      <c r="Y6" s="168"/>
      <c r="Z6" s="2"/>
      <c r="AA6" s="303"/>
      <c r="AB6" s="303"/>
      <c r="AC6" s="303"/>
      <c r="AD6" s="303"/>
      <c r="AE6" s="3"/>
      <c r="AF6" s="137"/>
      <c r="AG6" s="106"/>
      <c r="AH6" s="107"/>
      <c r="AI6" s="107"/>
      <c r="AK6" s="180"/>
      <c r="AL6" s="326" t="s">
        <v>366</v>
      </c>
      <c r="AM6" s="180" t="s">
        <v>367</v>
      </c>
      <c r="AN6" s="680"/>
    </row>
    <row r="7" spans="2:48" ht="31.5" customHeight="1">
      <c r="B7" s="2"/>
      <c r="C7" s="665" t="s">
        <v>1166</v>
      </c>
      <c r="D7" s="666"/>
      <c r="E7" s="666"/>
      <c r="F7" s="667"/>
      <c r="G7" s="3"/>
      <c r="H7" s="168"/>
      <c r="I7" s="2"/>
      <c r="J7" s="793">
        <v>1.1000000000000001</v>
      </c>
      <c r="K7" s="890" t="s">
        <v>1104</v>
      </c>
      <c r="L7" s="890"/>
      <c r="M7" s="890"/>
      <c r="N7" s="564"/>
      <c r="O7" s="960" t="s">
        <v>1105</v>
      </c>
      <c r="P7" s="961"/>
      <c r="Q7" s="962"/>
      <c r="R7" s="128" t="b">
        <v>0</v>
      </c>
      <c r="S7" s="1"/>
      <c r="T7" s="619" t="s">
        <v>60</v>
      </c>
      <c r="U7" s="619"/>
      <c r="V7" s="619"/>
      <c r="W7" s="619"/>
      <c r="X7" s="3"/>
      <c r="Y7" s="168"/>
      <c r="Z7" s="2"/>
      <c r="AA7" s="911" t="str">
        <f>IF(OR(AG9,AG8,AG10),Feedback_List!B62, " ")</f>
        <v xml:space="preserve"> </v>
      </c>
      <c r="AB7" s="912"/>
      <c r="AC7" s="912"/>
      <c r="AD7" s="913"/>
      <c r="AE7" s="3"/>
      <c r="AF7" s="137"/>
      <c r="AG7" s="177">
        <f t="shared" ref="AG7:AG10" si="0">IF(R7, 1, 0)</f>
        <v>0</v>
      </c>
      <c r="AH7" s="178">
        <f>IF(AG7,7,IF(AG8,5,IF(AG9,3,IF(AG10,0,0))))</f>
        <v>0</v>
      </c>
      <c r="AI7" s="923">
        <f>SUM(AH7:AH22)*AN7</f>
        <v>0</v>
      </c>
      <c r="AK7" s="108">
        <v>1</v>
      </c>
      <c r="AL7" s="108">
        <v>7</v>
      </c>
      <c r="AM7" s="108">
        <v>7</v>
      </c>
      <c r="AN7" s="193">
        <f>AM7/AL7</f>
        <v>1</v>
      </c>
    </row>
    <row r="8" spans="2:48" ht="31.5" customHeight="1">
      <c r="B8" s="2"/>
      <c r="C8" s="668"/>
      <c r="D8" s="669"/>
      <c r="E8" s="669"/>
      <c r="F8" s="670"/>
      <c r="G8" s="3"/>
      <c r="H8" s="168"/>
      <c r="I8" s="2"/>
      <c r="J8" s="793"/>
      <c r="K8" s="890"/>
      <c r="L8" s="890"/>
      <c r="M8" s="890"/>
      <c r="N8" s="1"/>
      <c r="O8" s="960" t="s">
        <v>1106</v>
      </c>
      <c r="P8" s="961"/>
      <c r="Q8" s="962"/>
      <c r="R8" s="128" t="b">
        <v>0</v>
      </c>
      <c r="S8" s="1"/>
      <c r="T8" s="619"/>
      <c r="U8" s="619"/>
      <c r="V8" s="619"/>
      <c r="W8" s="619"/>
      <c r="X8" s="3"/>
      <c r="Y8" s="168"/>
      <c r="Z8" s="2"/>
      <c r="AA8" s="914"/>
      <c r="AB8" s="915"/>
      <c r="AC8" s="915"/>
      <c r="AD8" s="916"/>
      <c r="AE8" s="3"/>
      <c r="AF8" s="137"/>
      <c r="AG8" s="117">
        <f t="shared" si="0"/>
        <v>0</v>
      </c>
      <c r="AH8" s="116"/>
      <c r="AI8" s="924"/>
      <c r="AK8" s="108">
        <v>2</v>
      </c>
      <c r="AL8" s="108">
        <v>46</v>
      </c>
      <c r="AM8" s="179">
        <v>4</v>
      </c>
      <c r="AN8" s="193">
        <f>AM8/AL8</f>
        <v>8.6956521739130432E-2</v>
      </c>
    </row>
    <row r="9" spans="2:48" ht="31.5" customHeight="1">
      <c r="B9" s="2"/>
      <c r="C9" s="668"/>
      <c r="D9" s="669"/>
      <c r="E9" s="669"/>
      <c r="F9" s="670"/>
      <c r="G9" s="3"/>
      <c r="H9" s="168"/>
      <c r="I9" s="2"/>
      <c r="J9" s="793"/>
      <c r="K9" s="890"/>
      <c r="L9" s="890"/>
      <c r="M9" s="890"/>
      <c r="N9" s="1"/>
      <c r="O9" s="960" t="s">
        <v>1107</v>
      </c>
      <c r="P9" s="961"/>
      <c r="Q9" s="962"/>
      <c r="R9" s="128" t="b">
        <v>0</v>
      </c>
      <c r="S9" s="1"/>
      <c r="T9" s="619"/>
      <c r="U9" s="619"/>
      <c r="V9" s="619"/>
      <c r="W9" s="619"/>
      <c r="X9" s="3"/>
      <c r="Y9" s="168"/>
      <c r="Z9" s="2"/>
      <c r="AA9" s="914"/>
      <c r="AB9" s="915"/>
      <c r="AC9" s="915"/>
      <c r="AD9" s="916"/>
      <c r="AE9" s="3"/>
      <c r="AF9" s="137"/>
      <c r="AG9" s="117">
        <f>IF(R9, 1, 0)</f>
        <v>0</v>
      </c>
      <c r="AH9" s="116"/>
      <c r="AI9" s="924"/>
      <c r="AK9" s="108">
        <v>3</v>
      </c>
      <c r="AL9" s="108">
        <v>16</v>
      </c>
      <c r="AM9" s="108">
        <v>2</v>
      </c>
      <c r="AN9" s="193">
        <f>AM9/AL9</f>
        <v>0.125</v>
      </c>
    </row>
    <row r="10" spans="2:48" ht="31.5" customHeight="1">
      <c r="B10" s="2"/>
      <c r="C10" s="668"/>
      <c r="D10" s="669"/>
      <c r="E10" s="669"/>
      <c r="F10" s="670"/>
      <c r="G10" s="3"/>
      <c r="H10" s="168"/>
      <c r="I10" s="2"/>
      <c r="J10" s="793"/>
      <c r="K10" s="890"/>
      <c r="L10" s="890"/>
      <c r="M10" s="890"/>
      <c r="N10" s="1"/>
      <c r="O10" s="685" t="s">
        <v>272</v>
      </c>
      <c r="P10" s="686"/>
      <c r="Q10" s="687"/>
      <c r="R10" s="128" t="b">
        <v>0</v>
      </c>
      <c r="S10" s="1"/>
      <c r="T10" s="619"/>
      <c r="U10" s="619"/>
      <c r="V10" s="619"/>
      <c r="W10" s="619"/>
      <c r="X10" s="3"/>
      <c r="Y10" s="168"/>
      <c r="Z10" s="2"/>
      <c r="AA10" s="917"/>
      <c r="AB10" s="918"/>
      <c r="AC10" s="918"/>
      <c r="AD10" s="919"/>
      <c r="AE10" s="3"/>
      <c r="AF10" s="137"/>
      <c r="AG10" s="117">
        <f t="shared" si="0"/>
        <v>0</v>
      </c>
      <c r="AH10" s="239"/>
      <c r="AI10" s="924"/>
      <c r="AJ10" s="98"/>
      <c r="AK10" s="108">
        <v>4</v>
      </c>
      <c r="AL10" s="108">
        <v>10</v>
      </c>
      <c r="AM10" s="108">
        <v>2</v>
      </c>
      <c r="AN10" s="193">
        <f>AM10/AL10</f>
        <v>0.2</v>
      </c>
    </row>
    <row r="11" spans="2:48" s="90" customFormat="1">
      <c r="B11" s="73"/>
      <c r="C11" s="668"/>
      <c r="D11" s="669"/>
      <c r="E11" s="669"/>
      <c r="F11" s="670"/>
      <c r="G11" s="74"/>
      <c r="H11" s="167"/>
      <c r="I11" s="73"/>
      <c r="J11" s="65"/>
      <c r="K11" s="216"/>
      <c r="L11" s="216"/>
      <c r="M11" s="216"/>
      <c r="N11" s="8"/>
      <c r="O11" s="62"/>
      <c r="P11" s="18"/>
      <c r="Q11" s="18"/>
      <c r="R11" s="18"/>
      <c r="S11" s="18"/>
      <c r="T11" s="62"/>
      <c r="U11" s="18"/>
      <c r="V11" s="62"/>
      <c r="W11" s="62"/>
      <c r="X11" s="240"/>
      <c r="Y11" s="168"/>
      <c r="Z11" s="73"/>
      <c r="AA11" s="304"/>
      <c r="AB11" s="304"/>
      <c r="AC11" s="304"/>
      <c r="AD11" s="304"/>
      <c r="AE11" s="74"/>
      <c r="AF11" s="137"/>
      <c r="AG11" s="117"/>
      <c r="AH11" s="239"/>
      <c r="AI11" s="924"/>
      <c r="AJ11" s="98"/>
      <c r="AK11" s="246" t="s">
        <v>436</v>
      </c>
      <c r="AL11" s="246">
        <f>SUM(AL7:AL10)</f>
        <v>79</v>
      </c>
      <c r="AM11" s="246">
        <f>SUM(AM7:AM10)</f>
        <v>15</v>
      </c>
      <c r="AN11" s="98"/>
      <c r="AO11" s="98"/>
      <c r="AP11" s="111"/>
      <c r="AQ11" s="99"/>
      <c r="AR11" s="98"/>
      <c r="AS11" s="98"/>
      <c r="AT11" s="94"/>
      <c r="AU11" s="94"/>
      <c r="AV11" s="99"/>
    </row>
    <row r="12" spans="2:48" s="90" customFormat="1" ht="17.55" customHeight="1" thickBot="1">
      <c r="B12" s="73"/>
      <c r="C12" s="668"/>
      <c r="D12" s="669"/>
      <c r="E12" s="669"/>
      <c r="F12" s="670"/>
      <c r="G12" s="74"/>
      <c r="H12" s="167"/>
      <c r="I12" s="73"/>
      <c r="J12" s="840">
        <v>1.2</v>
      </c>
      <c r="K12" s="818" t="s">
        <v>484</v>
      </c>
      <c r="L12" s="818"/>
      <c r="M12" s="819"/>
      <c r="N12" s="8"/>
      <c r="O12" s="236" t="s">
        <v>1150</v>
      </c>
      <c r="P12" s="237" t="s">
        <v>1014</v>
      </c>
      <c r="Q12" s="237" t="s">
        <v>254</v>
      </c>
      <c r="R12" s="238" t="s">
        <v>255</v>
      </c>
      <c r="S12" s="251"/>
      <c r="T12" s="827" t="s">
        <v>60</v>
      </c>
      <c r="U12" s="828"/>
      <c r="V12" s="828"/>
      <c r="W12" s="829"/>
      <c r="X12" s="240"/>
      <c r="Y12" s="168"/>
      <c r="Z12" s="73"/>
      <c r="AA12" s="869"/>
      <c r="AB12" s="870"/>
      <c r="AC12" s="870"/>
      <c r="AD12" s="871"/>
      <c r="AE12" s="74"/>
      <c r="AF12" s="137"/>
      <c r="AG12" s="117"/>
      <c r="AH12" s="239"/>
      <c r="AI12" s="924"/>
      <c r="AJ12" s="98"/>
      <c r="AK12" s="98"/>
      <c r="AL12" s="118"/>
      <c r="AM12" s="99"/>
      <c r="AN12" s="98"/>
      <c r="AO12" s="98"/>
      <c r="AP12" s="111"/>
      <c r="AQ12" s="99"/>
      <c r="AR12" s="98"/>
      <c r="AS12" s="98"/>
      <c r="AT12" s="94"/>
      <c r="AU12" s="94"/>
      <c r="AV12" s="99"/>
    </row>
    <row r="13" spans="2:48" s="90" customFormat="1" ht="17.55" customHeight="1" thickTop="1">
      <c r="B13" s="73"/>
      <c r="C13" s="668"/>
      <c r="D13" s="669"/>
      <c r="E13" s="669"/>
      <c r="F13" s="670"/>
      <c r="G13" s="74"/>
      <c r="H13" s="167"/>
      <c r="I13" s="73"/>
      <c r="J13" s="841"/>
      <c r="K13" s="821"/>
      <c r="L13" s="821"/>
      <c r="M13" s="822"/>
      <c r="N13" s="8"/>
      <c r="O13" s="235" t="s">
        <v>249</v>
      </c>
      <c r="P13" s="261"/>
      <c r="Q13" s="75"/>
      <c r="R13" s="75"/>
      <c r="S13" s="252"/>
      <c r="T13" s="830"/>
      <c r="U13" s="831"/>
      <c r="V13" s="831"/>
      <c r="W13" s="832"/>
      <c r="X13" s="240"/>
      <c r="Y13" s="168"/>
      <c r="Z13" s="73"/>
      <c r="AA13" s="872"/>
      <c r="AB13" s="873"/>
      <c r="AC13" s="873"/>
      <c r="AD13" s="874"/>
      <c r="AE13" s="74"/>
      <c r="AF13" s="137"/>
      <c r="AG13" s="117"/>
      <c r="AH13" s="116"/>
      <c r="AI13" s="924"/>
      <c r="AJ13" s="98"/>
      <c r="AK13" s="98"/>
      <c r="AL13" s="118"/>
      <c r="AM13" s="99"/>
      <c r="AN13" s="98"/>
      <c r="AO13" s="98"/>
      <c r="AP13" s="983"/>
      <c r="AQ13" s="99"/>
      <c r="AR13" s="98"/>
      <c r="AS13" s="98"/>
      <c r="AT13" s="94"/>
      <c r="AU13" s="94"/>
      <c r="AV13" s="99"/>
    </row>
    <row r="14" spans="2:48" s="90" customFormat="1" ht="17.55" customHeight="1">
      <c r="B14" s="73"/>
      <c r="C14" s="668"/>
      <c r="D14" s="669"/>
      <c r="E14" s="669"/>
      <c r="F14" s="670"/>
      <c r="G14" s="74"/>
      <c r="H14" s="167"/>
      <c r="I14" s="73"/>
      <c r="J14" s="841"/>
      <c r="K14" s="821"/>
      <c r="L14" s="821"/>
      <c r="M14" s="822"/>
      <c r="N14" s="8"/>
      <c r="O14" s="234" t="s">
        <v>250</v>
      </c>
      <c r="P14" s="261"/>
      <c r="Q14" s="75"/>
      <c r="R14" s="75"/>
      <c r="S14" s="252"/>
      <c r="T14" s="830"/>
      <c r="U14" s="831"/>
      <c r="V14" s="831"/>
      <c r="W14" s="832"/>
      <c r="X14" s="240"/>
      <c r="Y14" s="168"/>
      <c r="Z14" s="73"/>
      <c r="AA14" s="872"/>
      <c r="AB14" s="873"/>
      <c r="AC14" s="873"/>
      <c r="AD14" s="874"/>
      <c r="AE14" s="74"/>
      <c r="AF14" s="137"/>
      <c r="AG14" s="117"/>
      <c r="AH14" s="116"/>
      <c r="AI14" s="924"/>
      <c r="AJ14" s="98"/>
      <c r="AK14" s="98"/>
      <c r="AL14" s="118"/>
      <c r="AM14" s="99"/>
      <c r="AN14" s="98"/>
      <c r="AO14" s="98"/>
      <c r="AP14" s="983"/>
      <c r="AQ14" s="99"/>
      <c r="AR14" s="98"/>
      <c r="AS14" s="98"/>
      <c r="AT14" s="94"/>
      <c r="AU14" s="94"/>
      <c r="AV14" s="99"/>
    </row>
    <row r="15" spans="2:48" s="90" customFormat="1" ht="17.55" customHeight="1">
      <c r="B15" s="73"/>
      <c r="C15" s="668"/>
      <c r="D15" s="669"/>
      <c r="E15" s="669"/>
      <c r="F15" s="670"/>
      <c r="G15" s="74"/>
      <c r="H15" s="167"/>
      <c r="I15" s="73"/>
      <c r="J15" s="841"/>
      <c r="K15" s="821"/>
      <c r="L15" s="821"/>
      <c r="M15" s="822"/>
      <c r="N15" s="8"/>
      <c r="O15" s="234" t="s">
        <v>891</v>
      </c>
      <c r="P15" s="261"/>
      <c r="Q15" s="75"/>
      <c r="R15" s="75"/>
      <c r="S15" s="252"/>
      <c r="T15" s="830"/>
      <c r="U15" s="831"/>
      <c r="V15" s="831"/>
      <c r="W15" s="832"/>
      <c r="X15" s="240"/>
      <c r="Y15" s="168"/>
      <c r="Z15" s="73"/>
      <c r="AA15" s="872"/>
      <c r="AB15" s="873"/>
      <c r="AC15" s="873"/>
      <c r="AD15" s="874"/>
      <c r="AE15" s="74"/>
      <c r="AF15" s="137"/>
      <c r="AG15" s="117"/>
      <c r="AH15" s="116"/>
      <c r="AI15" s="924"/>
      <c r="AJ15" s="98"/>
      <c r="AK15" s="98"/>
      <c r="AL15" s="118"/>
      <c r="AM15" s="99"/>
      <c r="AN15" s="98"/>
      <c r="AO15" s="98"/>
      <c r="AP15" s="983"/>
      <c r="AQ15" s="99"/>
      <c r="AR15" s="98"/>
      <c r="AS15" s="98"/>
      <c r="AT15" s="94"/>
      <c r="AU15" s="94"/>
      <c r="AV15" s="99"/>
    </row>
    <row r="16" spans="2:48" s="90" customFormat="1" ht="17.55" customHeight="1">
      <c r="B16" s="73"/>
      <c r="C16" s="668"/>
      <c r="D16" s="669"/>
      <c r="E16" s="669"/>
      <c r="F16" s="670"/>
      <c r="G16" s="74"/>
      <c r="H16" s="167"/>
      <c r="I16" s="73"/>
      <c r="J16" s="841"/>
      <c r="K16" s="821"/>
      <c r="L16" s="821"/>
      <c r="M16" s="822"/>
      <c r="N16" s="8"/>
      <c r="O16" s="234" t="s">
        <v>890</v>
      </c>
      <c r="P16" s="261"/>
      <c r="Q16" s="75"/>
      <c r="R16" s="75"/>
      <c r="S16" s="252"/>
      <c r="T16" s="830"/>
      <c r="U16" s="831"/>
      <c r="V16" s="831"/>
      <c r="W16" s="832"/>
      <c r="X16" s="240"/>
      <c r="Y16" s="168"/>
      <c r="Z16" s="73"/>
      <c r="AA16" s="872"/>
      <c r="AB16" s="873"/>
      <c r="AC16" s="873"/>
      <c r="AD16" s="874"/>
      <c r="AE16" s="74"/>
      <c r="AF16" s="137"/>
      <c r="AG16" s="117"/>
      <c r="AH16" s="116"/>
      <c r="AI16" s="924"/>
      <c r="AJ16" s="98"/>
      <c r="AK16" s="98"/>
      <c r="AL16" s="118"/>
      <c r="AM16" s="99"/>
      <c r="AN16" s="98"/>
      <c r="AO16" s="98"/>
      <c r="AP16" s="983"/>
      <c r="AQ16" s="99"/>
      <c r="AR16" s="98"/>
      <c r="AS16" s="98"/>
      <c r="AT16" s="94"/>
      <c r="AU16" s="94"/>
      <c r="AV16" s="99"/>
    </row>
    <row r="17" spans="1:48" s="90" customFormat="1" ht="17.55" customHeight="1">
      <c r="B17" s="73"/>
      <c r="C17" s="668"/>
      <c r="D17" s="669"/>
      <c r="E17" s="669"/>
      <c r="F17" s="670"/>
      <c r="G17" s="74"/>
      <c r="H17" s="167"/>
      <c r="I17" s="73"/>
      <c r="J17" s="841"/>
      <c r="K17" s="821"/>
      <c r="L17" s="821"/>
      <c r="M17" s="822"/>
      <c r="N17" s="8"/>
      <c r="O17" s="234" t="s">
        <v>251</v>
      </c>
      <c r="P17" s="261"/>
      <c r="Q17" s="75"/>
      <c r="R17" s="75"/>
      <c r="S17" s="252"/>
      <c r="T17" s="830"/>
      <c r="U17" s="831"/>
      <c r="V17" s="831"/>
      <c r="W17" s="832"/>
      <c r="X17" s="240"/>
      <c r="Y17" s="168"/>
      <c r="Z17" s="73"/>
      <c r="AA17" s="872"/>
      <c r="AB17" s="873"/>
      <c r="AC17" s="873"/>
      <c r="AD17" s="874"/>
      <c r="AE17" s="74"/>
      <c r="AF17" s="137"/>
      <c r="AG17" s="117"/>
      <c r="AH17" s="116"/>
      <c r="AI17" s="924"/>
      <c r="AJ17" s="98"/>
      <c r="AK17" s="98"/>
      <c r="AL17" s="118"/>
      <c r="AM17" s="99"/>
      <c r="AN17" s="98"/>
      <c r="AO17" s="98"/>
      <c r="AP17" s="983"/>
      <c r="AQ17" s="99"/>
      <c r="AR17" s="98"/>
      <c r="AS17" s="98"/>
      <c r="AT17" s="94"/>
      <c r="AU17" s="94"/>
      <c r="AV17" s="99"/>
    </row>
    <row r="18" spans="1:48" s="90" customFormat="1" ht="17.55" customHeight="1">
      <c r="B18" s="73"/>
      <c r="C18" s="668"/>
      <c r="D18" s="669"/>
      <c r="E18" s="669"/>
      <c r="F18" s="670"/>
      <c r="G18" s="74"/>
      <c r="H18" s="167"/>
      <c r="I18" s="73"/>
      <c r="J18" s="841"/>
      <c r="K18" s="821"/>
      <c r="L18" s="821"/>
      <c r="M18" s="822"/>
      <c r="N18" s="8"/>
      <c r="O18" s="234" t="s">
        <v>625</v>
      </c>
      <c r="P18" s="261"/>
      <c r="Q18" s="75"/>
      <c r="R18" s="75"/>
      <c r="S18" s="252"/>
      <c r="T18" s="830"/>
      <c r="U18" s="831"/>
      <c r="V18" s="831"/>
      <c r="W18" s="832"/>
      <c r="X18" s="240"/>
      <c r="Y18" s="168"/>
      <c r="Z18" s="73"/>
      <c r="AA18" s="872"/>
      <c r="AB18" s="873"/>
      <c r="AC18" s="873"/>
      <c r="AD18" s="874"/>
      <c r="AE18" s="74"/>
      <c r="AF18" s="137"/>
      <c r="AG18" s="117"/>
      <c r="AH18" s="116"/>
      <c r="AI18" s="924"/>
      <c r="AJ18" s="98"/>
      <c r="AK18" s="98"/>
      <c r="AL18" s="118"/>
      <c r="AM18" s="99"/>
      <c r="AN18" s="98"/>
      <c r="AO18" s="98"/>
      <c r="AP18" s="983"/>
      <c r="AQ18" s="99"/>
      <c r="AR18" s="98"/>
      <c r="AS18" s="98"/>
      <c r="AT18" s="94"/>
      <c r="AU18" s="94"/>
      <c r="AV18" s="99"/>
    </row>
    <row r="19" spans="1:48" s="90" customFormat="1" ht="17.55" customHeight="1">
      <c r="B19" s="73"/>
      <c r="C19" s="668"/>
      <c r="D19" s="669"/>
      <c r="E19" s="669"/>
      <c r="F19" s="670"/>
      <c r="G19" s="74"/>
      <c r="H19" s="167"/>
      <c r="I19" s="73"/>
      <c r="J19" s="841"/>
      <c r="K19" s="821"/>
      <c r="L19" s="821"/>
      <c r="M19" s="822"/>
      <c r="N19" s="8"/>
      <c r="O19" s="234" t="s">
        <v>624</v>
      </c>
      <c r="P19" s="261"/>
      <c r="Q19" s="75"/>
      <c r="R19" s="75"/>
      <c r="S19" s="252"/>
      <c r="T19" s="830"/>
      <c r="U19" s="831"/>
      <c r="V19" s="831"/>
      <c r="W19" s="832"/>
      <c r="X19" s="240"/>
      <c r="Y19" s="168"/>
      <c r="Z19" s="73"/>
      <c r="AA19" s="872"/>
      <c r="AB19" s="873"/>
      <c r="AC19" s="873"/>
      <c r="AD19" s="874"/>
      <c r="AE19" s="74"/>
      <c r="AF19" s="137"/>
      <c r="AG19" s="117"/>
      <c r="AH19" s="116"/>
      <c r="AI19" s="924"/>
      <c r="AJ19" s="98"/>
      <c r="AK19" s="98"/>
      <c r="AL19" s="118"/>
      <c r="AM19" s="99"/>
      <c r="AN19" s="98"/>
      <c r="AO19" s="98"/>
      <c r="AP19" s="983"/>
      <c r="AQ19" s="99"/>
      <c r="AR19" s="98"/>
      <c r="AS19" s="98"/>
      <c r="AT19" s="94"/>
      <c r="AU19" s="94"/>
      <c r="AV19" s="99"/>
    </row>
    <row r="20" spans="1:48" s="90" customFormat="1" ht="17.55" customHeight="1">
      <c r="B20" s="73"/>
      <c r="C20" s="668"/>
      <c r="D20" s="669"/>
      <c r="E20" s="669"/>
      <c r="F20" s="670"/>
      <c r="G20" s="74"/>
      <c r="H20" s="167"/>
      <c r="I20" s="73"/>
      <c r="J20" s="841"/>
      <c r="K20" s="821"/>
      <c r="L20" s="821"/>
      <c r="M20" s="822"/>
      <c r="N20" s="8"/>
      <c r="O20" s="234" t="s">
        <v>1012</v>
      </c>
      <c r="P20" s="261"/>
      <c r="Q20" s="75"/>
      <c r="R20" s="75"/>
      <c r="S20" s="252"/>
      <c r="T20" s="830"/>
      <c r="U20" s="831"/>
      <c r="V20" s="831"/>
      <c r="W20" s="832"/>
      <c r="X20" s="240"/>
      <c r="Y20" s="168"/>
      <c r="Z20" s="73"/>
      <c r="AA20" s="872"/>
      <c r="AB20" s="873"/>
      <c r="AC20" s="873"/>
      <c r="AD20" s="874"/>
      <c r="AE20" s="74"/>
      <c r="AF20" s="137"/>
      <c r="AG20" s="117"/>
      <c r="AH20" s="116"/>
      <c r="AI20" s="924"/>
      <c r="AJ20" s="98"/>
      <c r="AK20" s="98"/>
      <c r="AL20" s="118"/>
      <c r="AM20" s="99"/>
      <c r="AN20" s="98"/>
      <c r="AO20" s="98"/>
      <c r="AP20" s="983"/>
      <c r="AQ20" s="99"/>
      <c r="AR20" s="98"/>
      <c r="AS20" s="98"/>
      <c r="AT20" s="94"/>
      <c r="AU20" s="94"/>
      <c r="AV20" s="99"/>
    </row>
    <row r="21" spans="1:48" s="90" customFormat="1" ht="17.55" customHeight="1" thickBot="1">
      <c r="B21" s="73"/>
      <c r="C21" s="668"/>
      <c r="D21" s="669"/>
      <c r="E21" s="669"/>
      <c r="F21" s="670"/>
      <c r="G21" s="74"/>
      <c r="H21" s="167"/>
      <c r="I21" s="73"/>
      <c r="J21" s="841"/>
      <c r="K21" s="821"/>
      <c r="L21" s="821"/>
      <c r="M21" s="822"/>
      <c r="N21" s="8"/>
      <c r="O21" s="524" t="s">
        <v>960</v>
      </c>
      <c r="P21" s="261"/>
      <c r="Q21" s="75"/>
      <c r="R21" s="75"/>
      <c r="S21" s="252"/>
      <c r="T21" s="830"/>
      <c r="U21" s="831"/>
      <c r="V21" s="831"/>
      <c r="W21" s="832"/>
      <c r="X21" s="240"/>
      <c r="Y21" s="168"/>
      <c r="Z21" s="73"/>
      <c r="AA21" s="872"/>
      <c r="AB21" s="873"/>
      <c r="AC21" s="873"/>
      <c r="AD21" s="874"/>
      <c r="AE21" s="74"/>
      <c r="AF21" s="137"/>
      <c r="AG21" s="117"/>
      <c r="AH21" s="116"/>
      <c r="AI21" s="924"/>
      <c r="AJ21" s="98"/>
      <c r="AK21" s="98"/>
      <c r="AL21" s="118"/>
      <c r="AM21" s="99"/>
      <c r="AN21" s="98"/>
      <c r="AO21" s="98"/>
      <c r="AP21" s="983"/>
      <c r="AQ21" s="99"/>
      <c r="AR21" s="98"/>
      <c r="AS21" s="98"/>
      <c r="AT21" s="94"/>
      <c r="AU21" s="94"/>
      <c r="AV21" s="99"/>
    </row>
    <row r="22" spans="1:48" s="90" customFormat="1" ht="17.55" customHeight="1" thickTop="1" thickBot="1">
      <c r="B22" s="73"/>
      <c r="C22" s="671"/>
      <c r="D22" s="672"/>
      <c r="E22" s="672"/>
      <c r="F22" s="673"/>
      <c r="G22" s="74"/>
      <c r="H22" s="167"/>
      <c r="I22" s="73"/>
      <c r="J22" s="842"/>
      <c r="K22" s="824"/>
      <c r="L22" s="824"/>
      <c r="M22" s="825"/>
      <c r="N22" s="8"/>
      <c r="O22" s="295" t="s">
        <v>725</v>
      </c>
      <c r="P22" s="296">
        <f>SUM(P13:P21)</f>
        <v>0</v>
      </c>
      <c r="Q22" s="984" t="str">
        <f>"Reduction target set at: " &amp; Milestone_1!AL97*100 &amp;"%"</f>
        <v>Reduction target set at: 0%</v>
      </c>
      <c r="R22" s="985"/>
      <c r="S22" s="253"/>
      <c r="T22" s="833"/>
      <c r="U22" s="834"/>
      <c r="V22" s="834"/>
      <c r="W22" s="835"/>
      <c r="X22" s="240"/>
      <c r="Y22" s="168"/>
      <c r="Z22" s="73"/>
      <c r="AA22" s="875"/>
      <c r="AB22" s="876"/>
      <c r="AC22" s="876"/>
      <c r="AD22" s="877"/>
      <c r="AE22" s="74"/>
      <c r="AF22" s="137"/>
      <c r="AG22" s="117"/>
      <c r="AH22" s="456"/>
      <c r="AI22" s="924"/>
      <c r="AJ22" s="98"/>
      <c r="AK22" s="98"/>
      <c r="AL22" s="118"/>
      <c r="AM22" s="99"/>
      <c r="AN22" s="98"/>
      <c r="AO22" s="98"/>
      <c r="AP22" s="983"/>
      <c r="AQ22" s="99"/>
      <c r="AR22" s="98"/>
      <c r="AS22" s="98"/>
      <c r="AT22" s="94"/>
      <c r="AU22" s="94"/>
      <c r="AV22" s="99"/>
    </row>
    <row r="23" spans="1:48" ht="18.600000000000001" thickTop="1" thickBot="1">
      <c r="B23" s="2"/>
      <c r="C23" s="17"/>
      <c r="D23" s="17"/>
      <c r="E23" s="17"/>
      <c r="F23" s="17"/>
      <c r="G23" s="3"/>
      <c r="H23" s="168"/>
      <c r="I23" s="2"/>
      <c r="J23" s="57"/>
      <c r="K23" s="210"/>
      <c r="L23" s="210"/>
      <c r="M23" s="210"/>
      <c r="N23" s="1"/>
      <c r="O23" s="18"/>
      <c r="P23" s="297"/>
      <c r="Q23" s="25"/>
      <c r="R23" s="25"/>
      <c r="S23" s="1"/>
      <c r="T23" s="17"/>
      <c r="U23" s="17"/>
      <c r="V23" s="17"/>
      <c r="W23" s="17"/>
      <c r="X23" s="3"/>
      <c r="Y23" s="168"/>
      <c r="Z23" s="2"/>
      <c r="AA23" s="245"/>
      <c r="AB23" s="245"/>
      <c r="AC23" s="245"/>
      <c r="AD23" s="245"/>
      <c r="AE23" s="3"/>
      <c r="AF23" s="137"/>
      <c r="AG23" s="123">
        <f>SUM(AG7:AG22)</f>
        <v>0</v>
      </c>
      <c r="AH23" s="123">
        <f>SUM(AH7:AH22)</f>
        <v>0</v>
      </c>
      <c r="AI23" s="123"/>
    </row>
    <row r="24" spans="1:48" ht="18" thickTop="1">
      <c r="B24" s="2"/>
      <c r="C24" s="33"/>
      <c r="D24" s="33"/>
      <c r="E24" s="33"/>
      <c r="F24" s="10"/>
      <c r="G24" s="3"/>
      <c r="H24" s="168"/>
      <c r="I24" s="2"/>
      <c r="J24" s="28" t="s">
        <v>18</v>
      </c>
      <c r="K24" s="209" t="s">
        <v>630</v>
      </c>
      <c r="L24" s="216"/>
      <c r="M24" s="216"/>
      <c r="N24" s="1"/>
      <c r="O24" s="10"/>
      <c r="P24" s="18"/>
      <c r="Q24" s="18"/>
      <c r="R24" s="18"/>
      <c r="S24" s="1"/>
      <c r="T24" s="10"/>
      <c r="U24" s="10"/>
      <c r="V24" s="10"/>
      <c r="W24" s="10"/>
      <c r="X24" s="83"/>
      <c r="Y24" s="169"/>
      <c r="Z24" s="2"/>
      <c r="AA24" s="974"/>
      <c r="AB24" s="975"/>
      <c r="AC24" s="975"/>
      <c r="AD24" s="976"/>
      <c r="AE24" s="3"/>
      <c r="AF24" s="137"/>
      <c r="AI24" s="243"/>
    </row>
    <row r="25" spans="1:48">
      <c r="B25" s="2"/>
      <c r="C25" s="17"/>
      <c r="D25" s="17"/>
      <c r="E25" s="17"/>
      <c r="F25" s="17"/>
      <c r="G25" s="3"/>
      <c r="H25" s="168"/>
      <c r="I25" s="2"/>
      <c r="J25" s="65"/>
      <c r="K25" s="216"/>
      <c r="L25" s="216"/>
      <c r="M25" s="216"/>
      <c r="N25"/>
      <c r="O25" s="10"/>
      <c r="P25" s="18"/>
      <c r="Q25" s="18"/>
      <c r="R25" s="18"/>
      <c r="S25" s="1"/>
      <c r="T25" s="10"/>
      <c r="U25" s="10"/>
      <c r="V25" s="10"/>
      <c r="W25" s="10"/>
      <c r="X25" s="83"/>
      <c r="Y25" s="169"/>
      <c r="Z25" s="82"/>
      <c r="AA25" s="977"/>
      <c r="AB25" s="978"/>
      <c r="AC25" s="978"/>
      <c r="AD25" s="979"/>
      <c r="AE25" s="83"/>
      <c r="AF25" s="137"/>
      <c r="AI25" s="243"/>
    </row>
    <row r="26" spans="1:48" s="91" customFormat="1" ht="15.6">
      <c r="A26" s="7"/>
      <c r="B26" s="2"/>
      <c r="C26" s="948" t="s">
        <v>1151</v>
      </c>
      <c r="D26" s="949"/>
      <c r="E26" s="949"/>
      <c r="F26" s="950"/>
      <c r="G26" s="3"/>
      <c r="H26" s="168"/>
      <c r="I26" s="2"/>
      <c r="J26" s="812">
        <v>2.1</v>
      </c>
      <c r="K26" s="815" t="s">
        <v>285</v>
      </c>
      <c r="L26" s="815"/>
      <c r="M26" s="815"/>
      <c r="N26" s="10"/>
      <c r="O26" s="629" t="s">
        <v>273</v>
      </c>
      <c r="P26" s="630"/>
      <c r="Q26" s="631"/>
      <c r="R26" s="128" t="b">
        <v>0</v>
      </c>
      <c r="S26" s="10"/>
      <c r="T26" s="619" t="s">
        <v>60</v>
      </c>
      <c r="U26" s="619"/>
      <c r="V26" s="619"/>
      <c r="W26" s="619"/>
      <c r="X26" s="12"/>
      <c r="Y26" s="165"/>
      <c r="Z26" s="9"/>
      <c r="AA26" s="977"/>
      <c r="AB26" s="978"/>
      <c r="AC26" s="978"/>
      <c r="AD26" s="979"/>
      <c r="AE26" s="12"/>
      <c r="AF26" s="137"/>
      <c r="AG26" s="177">
        <f>IF(R26, 1, 0)</f>
        <v>0</v>
      </c>
      <c r="AH26" s="178"/>
      <c r="AI26" s="971">
        <f>SUM(AH26:AH85) * AN8</f>
        <v>0</v>
      </c>
      <c r="AJ26" s="99"/>
      <c r="AL26" s="327"/>
      <c r="AO26" s="99"/>
    </row>
    <row r="27" spans="1:48" s="91" customFormat="1" ht="15.6">
      <c r="A27" s="7"/>
      <c r="B27" s="9"/>
      <c r="C27" s="951"/>
      <c r="D27" s="952"/>
      <c r="E27" s="952"/>
      <c r="F27" s="953"/>
      <c r="G27" s="3"/>
      <c r="H27" s="168"/>
      <c r="I27" s="9"/>
      <c r="J27" s="812"/>
      <c r="K27" s="815"/>
      <c r="L27" s="815"/>
      <c r="M27" s="815"/>
      <c r="N27" s="10"/>
      <c r="O27" s="843" t="s">
        <v>628</v>
      </c>
      <c r="P27" s="843"/>
      <c r="Q27" s="843"/>
      <c r="R27" s="128" t="b">
        <v>0</v>
      </c>
      <c r="S27" s="10"/>
      <c r="T27" s="619"/>
      <c r="U27" s="619"/>
      <c r="V27" s="619"/>
      <c r="W27" s="619"/>
      <c r="X27" s="12"/>
      <c r="Y27" s="165"/>
      <c r="Z27" s="9"/>
      <c r="AA27" s="977"/>
      <c r="AB27" s="978"/>
      <c r="AC27" s="978"/>
      <c r="AD27" s="979"/>
      <c r="AE27" s="12"/>
      <c r="AF27" s="137"/>
      <c r="AG27" s="117">
        <f t="shared" ref="AG27:AG32" si="1">IF(R27, 1, 0)</f>
        <v>0</v>
      </c>
      <c r="AH27" s="116"/>
      <c r="AI27" s="972"/>
      <c r="AJ27" s="99"/>
      <c r="AL27" s="327"/>
      <c r="AO27" s="99"/>
    </row>
    <row r="28" spans="1:48" s="91" customFormat="1" ht="15.6">
      <c r="A28" s="7"/>
      <c r="B28" s="9"/>
      <c r="C28" s="951"/>
      <c r="D28" s="952"/>
      <c r="E28" s="952"/>
      <c r="F28" s="953"/>
      <c r="G28" s="12"/>
      <c r="H28" s="168"/>
      <c r="I28" s="9"/>
      <c r="J28" s="812"/>
      <c r="K28" s="815"/>
      <c r="L28" s="815"/>
      <c r="M28" s="815"/>
      <c r="N28" s="10"/>
      <c r="O28" s="843" t="s">
        <v>274</v>
      </c>
      <c r="P28" s="843"/>
      <c r="Q28" s="843"/>
      <c r="R28" s="128" t="b">
        <v>0</v>
      </c>
      <c r="S28" s="10"/>
      <c r="T28" s="619"/>
      <c r="U28" s="619"/>
      <c r="V28" s="619"/>
      <c r="W28" s="619"/>
      <c r="X28" s="12"/>
      <c r="Y28" s="165"/>
      <c r="Z28" s="9"/>
      <c r="AA28" s="977"/>
      <c r="AB28" s="978"/>
      <c r="AC28" s="978"/>
      <c r="AD28" s="979"/>
      <c r="AE28" s="12"/>
      <c r="AF28" s="137"/>
      <c r="AG28" s="117">
        <f t="shared" si="1"/>
        <v>0</v>
      </c>
      <c r="AH28" s="116"/>
      <c r="AI28" s="972"/>
      <c r="AJ28" s="99"/>
      <c r="AL28" s="327"/>
      <c r="AO28" s="99"/>
    </row>
    <row r="29" spans="1:48" s="91" customFormat="1" ht="15.6">
      <c r="A29" s="7"/>
      <c r="B29" s="9"/>
      <c r="C29" s="951"/>
      <c r="D29" s="952"/>
      <c r="E29" s="952"/>
      <c r="F29" s="953"/>
      <c r="G29" s="12"/>
      <c r="H29" s="168"/>
      <c r="I29" s="9"/>
      <c r="J29" s="812"/>
      <c r="K29" s="815"/>
      <c r="L29" s="815"/>
      <c r="M29" s="815"/>
      <c r="N29" s="10"/>
      <c r="O29" s="843" t="s">
        <v>275</v>
      </c>
      <c r="P29" s="843"/>
      <c r="Q29" s="843"/>
      <c r="R29" s="128" t="b">
        <v>0</v>
      </c>
      <c r="S29" s="10"/>
      <c r="T29" s="619"/>
      <c r="U29" s="619"/>
      <c r="V29" s="619"/>
      <c r="W29" s="619"/>
      <c r="X29" s="12"/>
      <c r="Y29" s="165"/>
      <c r="Z29" s="9"/>
      <c r="AA29" s="977"/>
      <c r="AB29" s="978"/>
      <c r="AC29" s="978"/>
      <c r="AD29" s="979"/>
      <c r="AE29" s="12"/>
      <c r="AF29" s="137"/>
      <c r="AG29" s="117">
        <f t="shared" si="1"/>
        <v>0</v>
      </c>
      <c r="AH29" s="116"/>
      <c r="AI29" s="972"/>
      <c r="AJ29" s="99"/>
      <c r="AL29" s="327"/>
      <c r="AO29" s="99"/>
    </row>
    <row r="30" spans="1:48" s="91" customFormat="1" ht="15.6">
      <c r="A30" s="7"/>
      <c r="B30" s="9"/>
      <c r="C30" s="951"/>
      <c r="D30" s="952"/>
      <c r="E30" s="952"/>
      <c r="F30" s="953"/>
      <c r="G30" s="12"/>
      <c r="H30" s="168"/>
      <c r="I30" s="9"/>
      <c r="J30" s="812"/>
      <c r="K30" s="815"/>
      <c r="L30" s="815"/>
      <c r="M30" s="815"/>
      <c r="N30" s="10"/>
      <c r="O30" s="843" t="s">
        <v>276</v>
      </c>
      <c r="P30" s="843"/>
      <c r="Q30" s="843"/>
      <c r="R30" s="128" t="b">
        <v>0</v>
      </c>
      <c r="S30" s="10"/>
      <c r="T30" s="619"/>
      <c r="U30" s="619"/>
      <c r="V30" s="619"/>
      <c r="W30" s="619"/>
      <c r="X30" s="12"/>
      <c r="Y30" s="165"/>
      <c r="Z30" s="9"/>
      <c r="AA30" s="977"/>
      <c r="AB30" s="978"/>
      <c r="AC30" s="978"/>
      <c r="AD30" s="979"/>
      <c r="AE30" s="12"/>
      <c r="AF30" s="137"/>
      <c r="AG30" s="117">
        <f t="shared" si="1"/>
        <v>0</v>
      </c>
      <c r="AH30" s="116"/>
      <c r="AI30" s="972"/>
      <c r="AJ30" s="99"/>
      <c r="AL30" s="327"/>
      <c r="AO30" s="99"/>
    </row>
    <row r="31" spans="1:48" s="91" customFormat="1" ht="15.6">
      <c r="A31" s="7"/>
      <c r="B31" s="9"/>
      <c r="C31" s="951"/>
      <c r="D31" s="952"/>
      <c r="E31" s="952"/>
      <c r="F31" s="953"/>
      <c r="G31" s="12"/>
      <c r="H31" s="165"/>
      <c r="I31" s="9"/>
      <c r="J31" s="812"/>
      <c r="K31" s="815"/>
      <c r="L31" s="815"/>
      <c r="M31" s="815"/>
      <c r="N31" s="10"/>
      <c r="O31" s="843" t="s">
        <v>277</v>
      </c>
      <c r="P31" s="843"/>
      <c r="Q31" s="843"/>
      <c r="R31" s="128" t="b">
        <v>0</v>
      </c>
      <c r="S31" s="10"/>
      <c r="T31" s="619"/>
      <c r="U31" s="619"/>
      <c r="V31" s="619"/>
      <c r="W31" s="619"/>
      <c r="X31" s="12"/>
      <c r="Y31" s="165"/>
      <c r="Z31" s="9"/>
      <c r="AA31" s="977"/>
      <c r="AB31" s="978"/>
      <c r="AC31" s="978"/>
      <c r="AD31" s="979"/>
      <c r="AE31" s="12"/>
      <c r="AG31" s="117">
        <f t="shared" si="1"/>
        <v>0</v>
      </c>
      <c r="AH31" s="116"/>
      <c r="AI31" s="972"/>
      <c r="AJ31" s="99"/>
      <c r="AL31" s="327"/>
      <c r="AO31" s="99"/>
    </row>
    <row r="32" spans="1:48" s="91" customFormat="1" ht="15.6">
      <c r="A32" s="7"/>
      <c r="B32" s="9"/>
      <c r="C32" s="951"/>
      <c r="D32" s="952"/>
      <c r="E32" s="952"/>
      <c r="F32" s="953"/>
      <c r="G32" s="12"/>
      <c r="H32" s="165"/>
      <c r="I32" s="9"/>
      <c r="J32" s="812"/>
      <c r="K32" s="815"/>
      <c r="L32" s="815"/>
      <c r="M32" s="815"/>
      <c r="N32" s="10"/>
      <c r="O32" s="843" t="s">
        <v>278</v>
      </c>
      <c r="P32" s="843"/>
      <c r="Q32" s="843"/>
      <c r="R32" s="128" t="b">
        <v>0</v>
      </c>
      <c r="S32" s="10"/>
      <c r="T32" s="619"/>
      <c r="U32" s="619"/>
      <c r="V32" s="619"/>
      <c r="W32" s="619"/>
      <c r="X32" s="12"/>
      <c r="Y32" s="165"/>
      <c r="Z32" s="9"/>
      <c r="AA32" s="980"/>
      <c r="AB32" s="981"/>
      <c r="AC32" s="981"/>
      <c r="AD32" s="982"/>
      <c r="AE32" s="12"/>
      <c r="AG32" s="117">
        <f t="shared" si="1"/>
        <v>0</v>
      </c>
      <c r="AH32" s="116"/>
      <c r="AI32" s="972"/>
      <c r="AJ32" s="99"/>
      <c r="AL32" s="327"/>
      <c r="AO32" s="99"/>
    </row>
    <row r="33" spans="2:38">
      <c r="B33" s="82"/>
      <c r="C33" s="951"/>
      <c r="D33" s="952"/>
      <c r="E33" s="952"/>
      <c r="F33" s="953"/>
      <c r="G33" s="83"/>
      <c r="H33" s="169"/>
      <c r="I33" s="82"/>
      <c r="J33" s="65"/>
      <c r="K33" s="216"/>
      <c r="L33" s="216"/>
      <c r="M33" s="216"/>
      <c r="N33"/>
      <c r="O33" s="10"/>
      <c r="P33" s="18"/>
      <c r="Q33" s="18"/>
      <c r="R33" s="18"/>
      <c r="S33"/>
      <c r="T33" s="10"/>
      <c r="U33" s="10"/>
      <c r="V33" s="10"/>
      <c r="W33" s="10"/>
      <c r="X33" s="83"/>
      <c r="Y33" s="169"/>
      <c r="Z33" s="82"/>
      <c r="AA33" s="304"/>
      <c r="AB33" s="304"/>
      <c r="AC33" s="304"/>
      <c r="AD33" s="304"/>
      <c r="AE33" s="83"/>
      <c r="AG33" s="117"/>
      <c r="AH33" s="116"/>
      <c r="AI33" s="972"/>
    </row>
    <row r="34" spans="2:38" ht="51" customHeight="1">
      <c r="B34" s="9"/>
      <c r="C34" s="951"/>
      <c r="D34" s="952"/>
      <c r="E34" s="952"/>
      <c r="F34" s="953"/>
      <c r="G34" s="12"/>
      <c r="H34" s="165"/>
      <c r="I34" s="82"/>
      <c r="J34" s="840">
        <v>2.2000000000000002</v>
      </c>
      <c r="K34" s="817" t="s">
        <v>1174</v>
      </c>
      <c r="L34" s="818"/>
      <c r="M34" s="819"/>
      <c r="N34" s="10"/>
      <c r="O34" s="843" t="s">
        <v>1152</v>
      </c>
      <c r="P34" s="843"/>
      <c r="Q34" s="843"/>
      <c r="R34" s="128" t="b">
        <v>0</v>
      </c>
      <c r="S34" s="10"/>
      <c r="T34" s="920" t="s">
        <v>60</v>
      </c>
      <c r="U34" s="624"/>
      <c r="V34" s="624"/>
      <c r="W34" s="625"/>
      <c r="X34" s="12"/>
      <c r="Y34" s="165"/>
      <c r="Z34" s="9"/>
      <c r="AA34" s="911" t="str" cm="1">
        <f t="array" ref="AA34">IF(OR(AG34:AG38, AG39),
    IF(AG39, Feedback_List!B66,
        IF(AND(AG34, AG36, AG37, AG38), "",
            _xlfn.TEXTJOIN(CHAR(10), TRUE,
                AK34,
                _xlfn._xlws.FILTER(AL34:AL38, NOT(AG34:AG38)))
        )
    ),
    "")</f>
        <v/>
      </c>
      <c r="AB34" s="912"/>
      <c r="AC34" s="912"/>
      <c r="AD34" s="913"/>
      <c r="AE34" s="12"/>
      <c r="AF34" s="91"/>
      <c r="AG34" s="117">
        <f>IF(R34, 1, 0)</f>
        <v>0</v>
      </c>
      <c r="AH34" s="116">
        <f>IF(AG34,2,0)</f>
        <v>0</v>
      </c>
      <c r="AI34" s="972"/>
      <c r="AK34" s="114" t="s">
        <v>589</v>
      </c>
      <c r="AL34" s="118" t="s">
        <v>1059</v>
      </c>
    </row>
    <row r="35" spans="2:38" ht="51" customHeight="1">
      <c r="B35" s="9"/>
      <c r="C35" s="951"/>
      <c r="D35" s="952"/>
      <c r="E35" s="952"/>
      <c r="F35" s="953"/>
      <c r="G35" s="12"/>
      <c r="H35" s="165"/>
      <c r="I35" s="82"/>
      <c r="J35" s="841"/>
      <c r="K35" s="820"/>
      <c r="L35" s="821"/>
      <c r="M35" s="822"/>
      <c r="N35" s="10"/>
      <c r="O35" s="629" t="s">
        <v>1013</v>
      </c>
      <c r="P35" s="630"/>
      <c r="Q35" s="631"/>
      <c r="R35" s="128" t="b">
        <v>0</v>
      </c>
      <c r="S35" s="10"/>
      <c r="T35" s="921"/>
      <c r="U35" s="645"/>
      <c r="V35" s="645"/>
      <c r="W35" s="646"/>
      <c r="X35" s="12"/>
      <c r="Y35" s="165"/>
      <c r="Z35" s="9"/>
      <c r="AA35" s="914"/>
      <c r="AB35" s="915"/>
      <c r="AC35" s="915"/>
      <c r="AD35" s="916"/>
      <c r="AE35" s="12"/>
      <c r="AF35" s="91"/>
      <c r="AG35" s="117">
        <f>IF(R35, 1, 0)</f>
        <v>0</v>
      </c>
      <c r="AH35" s="116">
        <f>IF(AG35,2,0)</f>
        <v>0</v>
      </c>
      <c r="AI35" s="972"/>
      <c r="AK35" s="114"/>
      <c r="AL35" s="118" t="s">
        <v>1175</v>
      </c>
    </row>
    <row r="36" spans="2:38" ht="51" customHeight="1">
      <c r="B36" s="9"/>
      <c r="C36" s="951"/>
      <c r="D36" s="952"/>
      <c r="E36" s="952"/>
      <c r="F36" s="953"/>
      <c r="G36" s="12"/>
      <c r="H36" s="165"/>
      <c r="I36" s="82"/>
      <c r="J36" s="841"/>
      <c r="K36" s="820"/>
      <c r="L36" s="821"/>
      <c r="M36" s="822"/>
      <c r="N36" s="10"/>
      <c r="O36" s="843" t="s">
        <v>279</v>
      </c>
      <c r="P36" s="843"/>
      <c r="Q36" s="843"/>
      <c r="R36" s="128" t="b">
        <v>0</v>
      </c>
      <c r="S36" s="10"/>
      <c r="T36" s="921"/>
      <c r="U36" s="645"/>
      <c r="V36" s="645"/>
      <c r="W36" s="646"/>
      <c r="X36" s="12"/>
      <c r="Y36" s="165"/>
      <c r="Z36" s="9"/>
      <c r="AA36" s="914"/>
      <c r="AB36" s="915"/>
      <c r="AC36" s="915"/>
      <c r="AD36" s="916"/>
      <c r="AE36" s="12"/>
      <c r="AF36" s="91"/>
      <c r="AG36" s="117">
        <f t="shared" ref="AG36:AG39" si="2">IF(R36, 1, 0)</f>
        <v>0</v>
      </c>
      <c r="AH36" s="116">
        <f t="shared" ref="AH36:AH38" si="3">IF(AG36,2,0)</f>
        <v>0</v>
      </c>
      <c r="AI36" s="972"/>
      <c r="AL36" s="118" t="s">
        <v>1060</v>
      </c>
    </row>
    <row r="37" spans="2:38" ht="51" customHeight="1">
      <c r="B37" s="9"/>
      <c r="C37" s="951"/>
      <c r="D37" s="952"/>
      <c r="E37" s="952"/>
      <c r="F37" s="953"/>
      <c r="G37" s="12"/>
      <c r="H37" s="165"/>
      <c r="I37" s="82"/>
      <c r="J37" s="841"/>
      <c r="K37" s="820"/>
      <c r="L37" s="821"/>
      <c r="M37" s="822"/>
      <c r="N37" s="10"/>
      <c r="O37" s="843" t="s">
        <v>1176</v>
      </c>
      <c r="P37" s="843"/>
      <c r="Q37" s="843"/>
      <c r="R37" s="128" t="b">
        <v>0</v>
      </c>
      <c r="S37" s="10"/>
      <c r="T37" s="921"/>
      <c r="U37" s="645"/>
      <c r="V37" s="645"/>
      <c r="W37" s="646"/>
      <c r="X37" s="12"/>
      <c r="Y37" s="165"/>
      <c r="Z37" s="9"/>
      <c r="AA37" s="914"/>
      <c r="AB37" s="915"/>
      <c r="AC37" s="915"/>
      <c r="AD37" s="916"/>
      <c r="AE37" s="12"/>
      <c r="AF37" s="91"/>
      <c r="AG37" s="117">
        <f t="shared" si="2"/>
        <v>0</v>
      </c>
      <c r="AH37" s="116">
        <f t="shared" si="3"/>
        <v>0</v>
      </c>
      <c r="AI37" s="972"/>
      <c r="AL37" s="118" t="s">
        <v>1061</v>
      </c>
    </row>
    <row r="38" spans="2:38" ht="51" customHeight="1">
      <c r="B38" s="9"/>
      <c r="C38" s="951"/>
      <c r="D38" s="952"/>
      <c r="E38" s="952"/>
      <c r="F38" s="953"/>
      <c r="G38" s="12"/>
      <c r="H38" s="165"/>
      <c r="I38" s="82"/>
      <c r="J38" s="841"/>
      <c r="K38" s="820"/>
      <c r="L38" s="821"/>
      <c r="M38" s="822"/>
      <c r="N38" s="10"/>
      <c r="O38" s="843" t="s">
        <v>280</v>
      </c>
      <c r="P38" s="843"/>
      <c r="Q38" s="843"/>
      <c r="R38" s="128" t="b">
        <v>0</v>
      </c>
      <c r="S38" s="10"/>
      <c r="T38" s="921"/>
      <c r="U38" s="645"/>
      <c r="V38" s="645"/>
      <c r="W38" s="646"/>
      <c r="X38" s="12"/>
      <c r="Y38" s="165"/>
      <c r="Z38" s="9"/>
      <c r="AA38" s="914"/>
      <c r="AB38" s="915"/>
      <c r="AC38" s="915"/>
      <c r="AD38" s="916"/>
      <c r="AE38" s="12"/>
      <c r="AF38" s="91"/>
      <c r="AG38" s="117">
        <f t="shared" si="2"/>
        <v>0</v>
      </c>
      <c r="AH38" s="116">
        <f t="shared" si="3"/>
        <v>0</v>
      </c>
      <c r="AI38" s="972"/>
      <c r="AL38" s="118" t="s">
        <v>1062</v>
      </c>
    </row>
    <row r="39" spans="2:38" ht="51" customHeight="1">
      <c r="B39" s="9"/>
      <c r="C39" s="951"/>
      <c r="D39" s="952"/>
      <c r="E39" s="952"/>
      <c r="F39" s="953"/>
      <c r="G39" s="12"/>
      <c r="H39" s="165"/>
      <c r="I39" s="82"/>
      <c r="J39" s="841"/>
      <c r="K39" s="820"/>
      <c r="L39" s="821"/>
      <c r="M39" s="822"/>
      <c r="N39" s="10"/>
      <c r="O39" s="843" t="s">
        <v>281</v>
      </c>
      <c r="P39" s="843"/>
      <c r="Q39" s="843"/>
      <c r="R39" s="128" t="b">
        <v>0</v>
      </c>
      <c r="S39" s="10"/>
      <c r="T39" s="921"/>
      <c r="U39" s="645"/>
      <c r="V39" s="645"/>
      <c r="W39" s="646"/>
      <c r="X39" s="12"/>
      <c r="Y39" s="165"/>
      <c r="Z39" s="9"/>
      <c r="AA39" s="914"/>
      <c r="AB39" s="915"/>
      <c r="AC39" s="915"/>
      <c r="AD39" s="916"/>
      <c r="AE39" s="12"/>
      <c r="AF39" s="91"/>
      <c r="AG39" s="117">
        <f t="shared" si="2"/>
        <v>0</v>
      </c>
      <c r="AH39" s="116"/>
      <c r="AI39" s="972"/>
    </row>
    <row r="40" spans="2:38" ht="51" customHeight="1">
      <c r="B40" s="9"/>
      <c r="C40" s="954"/>
      <c r="D40" s="955"/>
      <c r="E40" s="955"/>
      <c r="F40" s="956"/>
      <c r="G40" s="12"/>
      <c r="H40" s="165"/>
      <c r="I40" s="82"/>
      <c r="J40" s="842"/>
      <c r="K40" s="823"/>
      <c r="L40" s="824"/>
      <c r="M40" s="825"/>
      <c r="N40" s="10"/>
      <c r="O40" s="843" t="s">
        <v>171</v>
      </c>
      <c r="P40" s="843"/>
      <c r="Q40" s="843"/>
      <c r="R40" s="128" t="b">
        <v>0</v>
      </c>
      <c r="S40" s="10"/>
      <c r="T40" s="922"/>
      <c r="U40" s="648"/>
      <c r="V40" s="648"/>
      <c r="W40" s="649"/>
      <c r="X40" s="12"/>
      <c r="Y40" s="165"/>
      <c r="Z40" s="9"/>
      <c r="AA40" s="917"/>
      <c r="AB40" s="918"/>
      <c r="AC40" s="918"/>
      <c r="AD40" s="919"/>
      <c r="AE40" s="12"/>
      <c r="AF40" s="91"/>
      <c r="AG40" s="117"/>
      <c r="AH40" s="116"/>
      <c r="AI40" s="972"/>
    </row>
    <row r="41" spans="2:38">
      <c r="B41" s="9"/>
      <c r="C41" s="17"/>
      <c r="D41" s="17"/>
      <c r="E41" s="17"/>
      <c r="F41" s="17"/>
      <c r="G41" s="12"/>
      <c r="H41" s="165"/>
      <c r="I41" s="82"/>
      <c r="J41" s="241"/>
      <c r="K41" s="222"/>
      <c r="L41" s="222"/>
      <c r="M41" s="222"/>
      <c r="N41" s="10"/>
      <c r="O41" s="10"/>
      <c r="P41" s="18"/>
      <c r="Q41" s="18"/>
      <c r="R41" s="242"/>
      <c r="S41" s="10"/>
      <c r="T41" s="298"/>
      <c r="U41" s="298"/>
      <c r="V41" s="298"/>
      <c r="W41" s="298"/>
      <c r="X41" s="12"/>
      <c r="Y41" s="165"/>
      <c r="Z41" s="9"/>
      <c r="AA41" s="272"/>
      <c r="AB41" s="272"/>
      <c r="AC41" s="272"/>
      <c r="AD41" s="272"/>
      <c r="AE41" s="12"/>
      <c r="AF41" s="91"/>
      <c r="AG41" s="117"/>
      <c r="AH41" s="116"/>
      <c r="AI41" s="972"/>
    </row>
    <row r="42" spans="2:38" ht="61.95" customHeight="1">
      <c r="B42" s="9"/>
      <c r="C42" s="948" t="s">
        <v>1153</v>
      </c>
      <c r="D42" s="949"/>
      <c r="E42" s="949"/>
      <c r="F42" s="950"/>
      <c r="G42" s="12"/>
      <c r="H42" s="165"/>
      <c r="I42" s="82"/>
      <c r="J42" s="840">
        <v>2.2999999999999998</v>
      </c>
      <c r="K42" s="817" t="s">
        <v>1017</v>
      </c>
      <c r="L42" s="818"/>
      <c r="M42" s="819"/>
      <c r="N42" s="10"/>
      <c r="O42" s="843" t="s">
        <v>1019</v>
      </c>
      <c r="P42" s="843"/>
      <c r="Q42" s="843"/>
      <c r="R42" s="128" t="b">
        <v>0</v>
      </c>
      <c r="S42" s="10"/>
      <c r="T42" s="920" t="s">
        <v>60</v>
      </c>
      <c r="U42" s="624"/>
      <c r="V42" s="624"/>
      <c r="W42" s="625"/>
      <c r="X42" s="12"/>
      <c r="Y42" s="165"/>
      <c r="Z42" s="9"/>
      <c r="AA42" s="911" t="str" cm="1">
        <f t="array" ref="AA42">IF(OR(AG42:AG48),
    IF(AG48, Feedback_List!B67,
        IF(AND(AG42, AG43, AG44, AG45, AG46, AG47), "",
            _xlfn.TEXTJOIN(CHAR(10), TRUE,
                AK42,
                _xlfn._xlws.FILTER(AL42:AL47, NOT(AG42:AG47)))
        )
    ),
    "")</f>
        <v/>
      </c>
      <c r="AB42" s="912"/>
      <c r="AC42" s="912"/>
      <c r="AD42" s="913"/>
      <c r="AE42" s="12"/>
      <c r="AF42" s="139"/>
      <c r="AG42" s="117">
        <f>IF(R42, 1, 0)</f>
        <v>0</v>
      </c>
      <c r="AH42" s="116">
        <f>IF(AG42,2,0)</f>
        <v>0</v>
      </c>
      <c r="AI42" s="972"/>
      <c r="AK42" s="114" t="s">
        <v>590</v>
      </c>
      <c r="AL42" s="118" t="s">
        <v>591</v>
      </c>
    </row>
    <row r="43" spans="2:38" ht="61.95" customHeight="1">
      <c r="B43" s="9"/>
      <c r="C43" s="951"/>
      <c r="D43" s="952"/>
      <c r="E43" s="952"/>
      <c r="F43" s="953"/>
      <c r="G43" s="12"/>
      <c r="H43" s="165"/>
      <c r="I43" s="82"/>
      <c r="J43" s="841"/>
      <c r="K43" s="820"/>
      <c r="L43" s="821"/>
      <c r="M43" s="822"/>
      <c r="N43" s="10"/>
      <c r="O43" s="843" t="s">
        <v>1021</v>
      </c>
      <c r="P43" s="843"/>
      <c r="Q43" s="843"/>
      <c r="R43" s="128" t="b">
        <v>0</v>
      </c>
      <c r="S43" s="10"/>
      <c r="T43" s="921"/>
      <c r="U43" s="645"/>
      <c r="V43" s="645"/>
      <c r="W43" s="646"/>
      <c r="X43" s="12"/>
      <c r="Y43" s="165"/>
      <c r="Z43" s="9"/>
      <c r="AA43" s="914"/>
      <c r="AB43" s="915"/>
      <c r="AC43" s="915"/>
      <c r="AD43" s="916"/>
      <c r="AE43" s="12"/>
      <c r="AG43" s="117">
        <f t="shared" ref="AG43:AG48" si="4">IF(R43, 1, 0)</f>
        <v>0</v>
      </c>
      <c r="AH43" s="116">
        <f t="shared" ref="AH43:AH47" si="5">IF(AG43,2,0)</f>
        <v>0</v>
      </c>
      <c r="AI43" s="972"/>
      <c r="AL43" s="118" t="s">
        <v>592</v>
      </c>
    </row>
    <row r="44" spans="2:38" ht="61.95" customHeight="1">
      <c r="B44" s="9"/>
      <c r="C44" s="951"/>
      <c r="D44" s="952"/>
      <c r="E44" s="952"/>
      <c r="F44" s="953"/>
      <c r="G44" s="12"/>
      <c r="H44" s="165"/>
      <c r="I44" s="82"/>
      <c r="J44" s="841"/>
      <c r="K44" s="820"/>
      <c r="L44" s="821"/>
      <c r="M44" s="822"/>
      <c r="N44" s="10"/>
      <c r="O44" s="843" t="s">
        <v>1022</v>
      </c>
      <c r="P44" s="843"/>
      <c r="Q44" s="843"/>
      <c r="R44" s="128" t="b">
        <v>0</v>
      </c>
      <c r="S44" s="10"/>
      <c r="T44" s="921"/>
      <c r="U44" s="645"/>
      <c r="V44" s="645"/>
      <c r="W44" s="646"/>
      <c r="X44" s="12"/>
      <c r="Y44" s="165"/>
      <c r="Z44" s="9"/>
      <c r="AA44" s="914"/>
      <c r="AB44" s="915"/>
      <c r="AC44" s="915"/>
      <c r="AD44" s="916"/>
      <c r="AE44" s="12"/>
      <c r="AF44" s="139"/>
      <c r="AG44" s="117">
        <f t="shared" si="4"/>
        <v>0</v>
      </c>
      <c r="AH44" s="116">
        <f t="shared" si="5"/>
        <v>0</v>
      </c>
      <c r="AI44" s="972"/>
      <c r="AL44" s="118" t="s">
        <v>593</v>
      </c>
    </row>
    <row r="45" spans="2:38" ht="61.95" customHeight="1">
      <c r="B45" s="9"/>
      <c r="C45" s="951"/>
      <c r="D45" s="952"/>
      <c r="E45" s="952"/>
      <c r="F45" s="953"/>
      <c r="G45" s="12"/>
      <c r="H45" s="165"/>
      <c r="I45" s="82"/>
      <c r="J45" s="841"/>
      <c r="K45" s="820"/>
      <c r="L45" s="821"/>
      <c r="M45" s="822"/>
      <c r="N45" s="10"/>
      <c r="O45" s="843" t="s">
        <v>1023</v>
      </c>
      <c r="P45" s="843"/>
      <c r="Q45" s="843"/>
      <c r="R45" s="128" t="b">
        <v>0</v>
      </c>
      <c r="S45" s="10"/>
      <c r="T45" s="921"/>
      <c r="U45" s="645"/>
      <c r="V45" s="645"/>
      <c r="W45" s="646"/>
      <c r="X45" s="12"/>
      <c r="Y45" s="165"/>
      <c r="Z45" s="9"/>
      <c r="AA45" s="914"/>
      <c r="AB45" s="915"/>
      <c r="AC45" s="915"/>
      <c r="AD45" s="916"/>
      <c r="AE45" s="12"/>
      <c r="AF45" s="546"/>
      <c r="AG45" s="117">
        <f t="shared" si="4"/>
        <v>0</v>
      </c>
      <c r="AH45" s="116">
        <f t="shared" si="5"/>
        <v>0</v>
      </c>
      <c r="AI45" s="972"/>
      <c r="AL45" s="118" t="s">
        <v>594</v>
      </c>
    </row>
    <row r="46" spans="2:38" ht="61.95" customHeight="1">
      <c r="B46" s="9"/>
      <c r="C46" s="951"/>
      <c r="D46" s="952"/>
      <c r="E46" s="952"/>
      <c r="F46" s="953"/>
      <c r="G46" s="12"/>
      <c r="H46" s="165"/>
      <c r="I46" s="82"/>
      <c r="J46" s="841"/>
      <c r="K46" s="820"/>
      <c r="L46" s="821"/>
      <c r="M46" s="822"/>
      <c r="N46" s="10"/>
      <c r="O46" s="629" t="s">
        <v>1018</v>
      </c>
      <c r="P46" s="630"/>
      <c r="Q46" s="631"/>
      <c r="R46" s="128" t="b">
        <v>0</v>
      </c>
      <c r="S46" s="10"/>
      <c r="T46" s="921"/>
      <c r="U46" s="645"/>
      <c r="V46" s="645"/>
      <c r="W46" s="646"/>
      <c r="X46" s="12"/>
      <c r="Y46" s="165"/>
      <c r="Z46" s="9"/>
      <c r="AA46" s="914"/>
      <c r="AB46" s="915"/>
      <c r="AC46" s="915"/>
      <c r="AD46" s="916"/>
      <c r="AE46" s="12"/>
      <c r="AG46" s="117">
        <f t="shared" si="4"/>
        <v>0</v>
      </c>
      <c r="AH46" s="116">
        <f t="shared" si="5"/>
        <v>0</v>
      </c>
      <c r="AI46" s="972"/>
      <c r="AL46" s="118" t="s">
        <v>1177</v>
      </c>
    </row>
    <row r="47" spans="2:38" ht="61.95" customHeight="1">
      <c r="B47" s="9"/>
      <c r="C47" s="951"/>
      <c r="D47" s="952"/>
      <c r="E47" s="952"/>
      <c r="F47" s="953"/>
      <c r="G47" s="12"/>
      <c r="H47" s="165"/>
      <c r="I47" s="82"/>
      <c r="J47" s="841"/>
      <c r="K47" s="820"/>
      <c r="L47" s="821"/>
      <c r="M47" s="822"/>
      <c r="N47" s="10"/>
      <c r="O47" s="629" t="s">
        <v>1020</v>
      </c>
      <c r="P47" s="630"/>
      <c r="Q47" s="631"/>
      <c r="R47" s="128" t="b">
        <v>0</v>
      </c>
      <c r="S47" s="10"/>
      <c r="T47" s="921"/>
      <c r="U47" s="645"/>
      <c r="V47" s="645"/>
      <c r="W47" s="646"/>
      <c r="X47" s="12"/>
      <c r="Y47" s="165"/>
      <c r="Z47" s="9"/>
      <c r="AA47" s="914"/>
      <c r="AB47" s="915"/>
      <c r="AC47" s="915"/>
      <c r="AD47" s="916"/>
      <c r="AE47" s="12"/>
      <c r="AG47" s="117">
        <f t="shared" si="4"/>
        <v>0</v>
      </c>
      <c r="AH47" s="116">
        <f t="shared" si="5"/>
        <v>0</v>
      </c>
      <c r="AI47" s="972"/>
      <c r="AL47" s="118" t="s">
        <v>1063</v>
      </c>
    </row>
    <row r="48" spans="2:38" ht="61.95" customHeight="1">
      <c r="B48" s="9"/>
      <c r="C48" s="951"/>
      <c r="D48" s="952"/>
      <c r="E48" s="952"/>
      <c r="F48" s="953"/>
      <c r="G48" s="12"/>
      <c r="H48" s="165"/>
      <c r="I48" s="82"/>
      <c r="J48" s="841"/>
      <c r="K48" s="820"/>
      <c r="L48" s="821"/>
      <c r="M48" s="822"/>
      <c r="N48" s="10"/>
      <c r="O48" s="629" t="s">
        <v>281</v>
      </c>
      <c r="P48" s="630"/>
      <c r="Q48" s="631"/>
      <c r="R48" s="128" t="b">
        <v>0</v>
      </c>
      <c r="S48" s="10"/>
      <c r="T48" s="921"/>
      <c r="U48" s="645"/>
      <c r="V48" s="645"/>
      <c r="W48" s="646"/>
      <c r="X48" s="12"/>
      <c r="Y48" s="165"/>
      <c r="Z48" s="9"/>
      <c r="AA48" s="914"/>
      <c r="AB48" s="915"/>
      <c r="AC48" s="915"/>
      <c r="AD48" s="916"/>
      <c r="AE48" s="12"/>
      <c r="AF48" s="91"/>
      <c r="AG48" s="117">
        <f t="shared" si="4"/>
        <v>0</v>
      </c>
      <c r="AH48" s="116"/>
      <c r="AI48" s="972"/>
    </row>
    <row r="49" spans="2:38" ht="61.95" customHeight="1">
      <c r="B49" s="9"/>
      <c r="C49" s="954"/>
      <c r="D49" s="955"/>
      <c r="E49" s="955"/>
      <c r="F49" s="956"/>
      <c r="G49" s="12"/>
      <c r="H49" s="165"/>
      <c r="I49" s="82"/>
      <c r="J49" s="842"/>
      <c r="K49" s="823"/>
      <c r="L49" s="824"/>
      <c r="M49" s="825"/>
      <c r="N49" s="10"/>
      <c r="O49" s="629" t="s">
        <v>171</v>
      </c>
      <c r="P49" s="630"/>
      <c r="Q49" s="631"/>
      <c r="R49" s="128" t="b">
        <v>0</v>
      </c>
      <c r="S49" s="10"/>
      <c r="T49" s="922"/>
      <c r="U49" s="648"/>
      <c r="V49" s="648"/>
      <c r="W49" s="649"/>
      <c r="X49" s="12"/>
      <c r="Y49" s="165"/>
      <c r="Z49" s="9"/>
      <c r="AA49" s="917"/>
      <c r="AB49" s="918"/>
      <c r="AC49" s="918"/>
      <c r="AD49" s="919"/>
      <c r="AE49" s="12"/>
      <c r="AF49" s="91"/>
      <c r="AG49" s="117"/>
      <c r="AH49" s="116"/>
      <c r="AI49" s="972"/>
    </row>
    <row r="50" spans="2:38">
      <c r="B50" s="82"/>
      <c r="C50" s="17"/>
      <c r="D50" s="17"/>
      <c r="E50" s="17"/>
      <c r="F50" s="17"/>
      <c r="G50" s="83"/>
      <c r="H50" s="169"/>
      <c r="I50" s="82"/>
      <c r="J50" s="65"/>
      <c r="K50" s="216"/>
      <c r="L50" s="216"/>
      <c r="M50" s="216"/>
      <c r="N50"/>
      <c r="O50" s="10"/>
      <c r="P50" s="18"/>
      <c r="Q50" s="18"/>
      <c r="R50" s="18"/>
      <c r="S50"/>
      <c r="T50" s="10"/>
      <c r="U50" s="10"/>
      <c r="V50" s="10"/>
      <c r="W50" s="10"/>
      <c r="X50" s="83"/>
      <c r="Y50" s="169"/>
      <c r="Z50" s="82"/>
      <c r="AA50" s="304"/>
      <c r="AB50" s="304"/>
      <c r="AC50" s="304"/>
      <c r="AD50" s="304"/>
      <c r="AE50" s="83"/>
      <c r="AG50" s="117"/>
      <c r="AH50" s="116"/>
      <c r="AI50" s="972"/>
    </row>
    <row r="51" spans="2:38" ht="40.950000000000003" customHeight="1">
      <c r="B51" s="9"/>
      <c r="C51" s="948" t="s">
        <v>1154</v>
      </c>
      <c r="D51" s="949"/>
      <c r="E51" s="949"/>
      <c r="F51" s="950"/>
      <c r="G51" s="12"/>
      <c r="H51" s="165"/>
      <c r="I51" s="82"/>
      <c r="J51" s="840">
        <v>2.4</v>
      </c>
      <c r="K51" s="817" t="s">
        <v>1015</v>
      </c>
      <c r="L51" s="818"/>
      <c r="M51" s="819"/>
      <c r="N51" s="10"/>
      <c r="O51" s="629" t="s">
        <v>1048</v>
      </c>
      <c r="P51" s="630"/>
      <c r="Q51" s="631"/>
      <c r="R51" s="128" t="b">
        <v>0</v>
      </c>
      <c r="S51" s="10"/>
      <c r="T51" s="920"/>
      <c r="U51" s="624"/>
      <c r="V51" s="624"/>
      <c r="W51" s="625"/>
      <c r="X51" s="12"/>
      <c r="Y51" s="165"/>
      <c r="Z51" s="9"/>
      <c r="AA51" s="911" t="str" cm="1">
        <f t="array" ref="AA51">IF(OR(AG51:AG56),
    IF(AG56, Feedback_List!B68,
        IF(AND(AG51,AG52,AG53,AG54,AG55), "",
            _xlfn.TEXTJOIN(CHAR(10), TRUE,
                AK51,
                _xlfn._xlws.FILTER(AL51:AL55, NOT(AG51:AG55)))
        )
    ),
    "")</f>
        <v/>
      </c>
      <c r="AB51" s="912"/>
      <c r="AC51" s="912"/>
      <c r="AD51" s="913"/>
      <c r="AE51" s="12"/>
      <c r="AF51" s="91"/>
      <c r="AG51" s="117">
        <f t="shared" ref="AG51:AG56" si="6">IF(R51, 1, 0)</f>
        <v>0</v>
      </c>
      <c r="AH51" s="116">
        <f t="shared" ref="AH51:AH53" si="7">IF(AG51,2,0)</f>
        <v>0</v>
      </c>
      <c r="AI51" s="972"/>
      <c r="AK51" s="114" t="s">
        <v>595</v>
      </c>
      <c r="AL51" s="118" t="s">
        <v>1079</v>
      </c>
    </row>
    <row r="52" spans="2:38" ht="40.950000000000003" customHeight="1">
      <c r="B52" s="9"/>
      <c r="C52" s="951"/>
      <c r="D52" s="952"/>
      <c r="E52" s="952"/>
      <c r="F52" s="953"/>
      <c r="G52" s="12"/>
      <c r="H52" s="165"/>
      <c r="I52" s="82"/>
      <c r="J52" s="841"/>
      <c r="K52" s="820"/>
      <c r="L52" s="821"/>
      <c r="M52" s="822"/>
      <c r="N52" s="10"/>
      <c r="O52" s="579" t="s">
        <v>1049</v>
      </c>
      <c r="P52" s="580"/>
      <c r="Q52" s="581"/>
      <c r="R52" s="128" t="b">
        <v>0</v>
      </c>
      <c r="S52" s="10"/>
      <c r="T52" s="921"/>
      <c r="U52" s="645"/>
      <c r="V52" s="645"/>
      <c r="W52" s="646"/>
      <c r="X52" s="12"/>
      <c r="Y52" s="165"/>
      <c r="Z52" s="9"/>
      <c r="AA52" s="914"/>
      <c r="AB52" s="915"/>
      <c r="AC52" s="915"/>
      <c r="AD52" s="916"/>
      <c r="AE52" s="12"/>
      <c r="AF52" s="91"/>
      <c r="AG52" s="117">
        <f t="shared" si="6"/>
        <v>0</v>
      </c>
      <c r="AH52" s="116">
        <f t="shared" si="7"/>
        <v>0</v>
      </c>
      <c r="AI52" s="972"/>
      <c r="AL52" s="118" t="s">
        <v>1080</v>
      </c>
    </row>
    <row r="53" spans="2:38" ht="40.950000000000003" customHeight="1">
      <c r="B53" s="9"/>
      <c r="C53" s="951"/>
      <c r="D53" s="952"/>
      <c r="E53" s="952"/>
      <c r="F53" s="953"/>
      <c r="G53" s="12"/>
      <c r="H53" s="165"/>
      <c r="I53" s="82"/>
      <c r="J53" s="841"/>
      <c r="K53" s="820"/>
      <c r="L53" s="821"/>
      <c r="M53" s="822"/>
      <c r="N53" s="10"/>
      <c r="O53" s="629" t="s">
        <v>1050</v>
      </c>
      <c r="P53" s="630"/>
      <c r="Q53" s="631"/>
      <c r="R53" s="128" t="b">
        <v>0</v>
      </c>
      <c r="S53" s="10"/>
      <c r="T53" s="921"/>
      <c r="U53" s="645"/>
      <c r="V53" s="645"/>
      <c r="W53" s="646"/>
      <c r="X53" s="12"/>
      <c r="Y53" s="165"/>
      <c r="Z53" s="9"/>
      <c r="AA53" s="914"/>
      <c r="AB53" s="915"/>
      <c r="AC53" s="915"/>
      <c r="AD53" s="916"/>
      <c r="AE53" s="12"/>
      <c r="AF53" s="91"/>
      <c r="AG53" s="117">
        <f t="shared" si="6"/>
        <v>0</v>
      </c>
      <c r="AH53" s="116">
        <f t="shared" si="7"/>
        <v>0</v>
      </c>
      <c r="AI53" s="972"/>
      <c r="AL53" s="558" t="s">
        <v>1081</v>
      </c>
    </row>
    <row r="54" spans="2:38" ht="40.950000000000003" customHeight="1">
      <c r="B54" s="9"/>
      <c r="C54" s="951"/>
      <c r="D54" s="952"/>
      <c r="E54" s="952"/>
      <c r="F54" s="953"/>
      <c r="G54" s="12"/>
      <c r="H54" s="165"/>
      <c r="I54" s="82"/>
      <c r="J54" s="841"/>
      <c r="K54" s="820"/>
      <c r="L54" s="821"/>
      <c r="M54" s="822"/>
      <c r="N54" s="10"/>
      <c r="O54" s="629" t="s">
        <v>1051</v>
      </c>
      <c r="P54" s="630"/>
      <c r="Q54" s="631"/>
      <c r="R54" s="128" t="b">
        <v>0</v>
      </c>
      <c r="S54" s="10"/>
      <c r="T54" s="921"/>
      <c r="U54" s="645"/>
      <c r="V54" s="645"/>
      <c r="W54" s="646"/>
      <c r="X54" s="12"/>
      <c r="Y54" s="165"/>
      <c r="Z54" s="9"/>
      <c r="AA54" s="914"/>
      <c r="AB54" s="915"/>
      <c r="AC54" s="915"/>
      <c r="AD54" s="916"/>
      <c r="AE54" s="12"/>
      <c r="AF54" s="91"/>
      <c r="AG54" s="117">
        <f t="shared" si="6"/>
        <v>0</v>
      </c>
      <c r="AH54" s="116">
        <f>IF(AG54,2,0)</f>
        <v>0</v>
      </c>
      <c r="AI54" s="972"/>
      <c r="AL54" s="118" t="s">
        <v>1082</v>
      </c>
    </row>
    <row r="55" spans="2:38" ht="40.950000000000003" customHeight="1">
      <c r="B55" s="9"/>
      <c r="C55" s="951"/>
      <c r="D55" s="952"/>
      <c r="E55" s="952"/>
      <c r="F55" s="953"/>
      <c r="G55" s="12"/>
      <c r="H55" s="165"/>
      <c r="I55" s="82"/>
      <c r="J55" s="841"/>
      <c r="K55" s="820"/>
      <c r="L55" s="821"/>
      <c r="M55" s="822"/>
      <c r="N55" s="10"/>
      <c r="O55" s="629" t="s">
        <v>1052</v>
      </c>
      <c r="P55" s="630"/>
      <c r="Q55" s="631"/>
      <c r="R55" s="128" t="b">
        <v>0</v>
      </c>
      <c r="S55" s="10"/>
      <c r="T55" s="921"/>
      <c r="U55" s="645"/>
      <c r="V55" s="645"/>
      <c r="W55" s="646"/>
      <c r="X55" s="12"/>
      <c r="Y55" s="165"/>
      <c r="Z55" s="9"/>
      <c r="AA55" s="914"/>
      <c r="AB55" s="915"/>
      <c r="AC55" s="915"/>
      <c r="AD55" s="916"/>
      <c r="AE55" s="12"/>
      <c r="AF55" s="91"/>
      <c r="AG55" s="117">
        <f t="shared" si="6"/>
        <v>0</v>
      </c>
      <c r="AH55" s="116"/>
      <c r="AI55" s="972"/>
      <c r="AL55" s="118" t="s">
        <v>1083</v>
      </c>
    </row>
    <row r="56" spans="2:38" ht="40.950000000000003" customHeight="1">
      <c r="B56" s="9"/>
      <c r="C56" s="951"/>
      <c r="D56" s="952"/>
      <c r="E56" s="952"/>
      <c r="F56" s="953"/>
      <c r="G56" s="12"/>
      <c r="H56" s="165"/>
      <c r="I56" s="82"/>
      <c r="J56" s="841"/>
      <c r="K56" s="820"/>
      <c r="L56" s="821"/>
      <c r="M56" s="822"/>
      <c r="N56" s="10"/>
      <c r="O56" s="629" t="s">
        <v>281</v>
      </c>
      <c r="P56" s="630"/>
      <c r="Q56" s="631"/>
      <c r="R56" s="128" t="b">
        <v>0</v>
      </c>
      <c r="S56" s="10"/>
      <c r="T56" s="921"/>
      <c r="U56" s="645"/>
      <c r="V56" s="645"/>
      <c r="W56" s="646"/>
      <c r="X56" s="12"/>
      <c r="Y56" s="165"/>
      <c r="Z56" s="9"/>
      <c r="AA56" s="914"/>
      <c r="AB56" s="915"/>
      <c r="AC56" s="915"/>
      <c r="AD56" s="916"/>
      <c r="AE56" s="12"/>
      <c r="AF56" s="91"/>
      <c r="AG56" s="117">
        <f t="shared" si="6"/>
        <v>0</v>
      </c>
      <c r="AH56" s="116"/>
      <c r="AI56" s="972"/>
    </row>
    <row r="57" spans="2:38" ht="40.950000000000003" customHeight="1">
      <c r="B57" s="9"/>
      <c r="C57" s="954"/>
      <c r="D57" s="955"/>
      <c r="E57" s="955"/>
      <c r="F57" s="956"/>
      <c r="G57" s="12"/>
      <c r="H57" s="165"/>
      <c r="I57" s="82"/>
      <c r="J57" s="842"/>
      <c r="K57" s="823"/>
      <c r="L57" s="824"/>
      <c r="M57" s="825"/>
      <c r="N57" s="10"/>
      <c r="O57" s="629" t="s">
        <v>171</v>
      </c>
      <c r="P57" s="630"/>
      <c r="Q57" s="631"/>
      <c r="R57" s="128" t="b">
        <v>0</v>
      </c>
      <c r="S57" s="10"/>
      <c r="T57" s="922"/>
      <c r="U57" s="648"/>
      <c r="V57" s="648"/>
      <c r="W57" s="649"/>
      <c r="X57" s="12"/>
      <c r="Y57" s="165"/>
      <c r="Z57" s="9"/>
      <c r="AA57" s="917"/>
      <c r="AB57" s="918"/>
      <c r="AC57" s="918"/>
      <c r="AD57" s="919"/>
      <c r="AE57" s="12"/>
      <c r="AF57" s="91"/>
      <c r="AG57" s="117"/>
      <c r="AH57" s="116"/>
      <c r="AI57" s="972"/>
    </row>
    <row r="58" spans="2:38">
      <c r="B58" s="82"/>
      <c r="C58" s="566"/>
      <c r="D58" s="566"/>
      <c r="E58" s="566"/>
      <c r="F58" s="566"/>
      <c r="G58" s="83"/>
      <c r="H58" s="169"/>
      <c r="I58" s="82"/>
      <c r="J58" s="65"/>
      <c r="K58" s="216"/>
      <c r="L58" s="216"/>
      <c r="M58" s="216"/>
      <c r="N58"/>
      <c r="O58" s="10"/>
      <c r="P58" s="18"/>
      <c r="Q58" s="18"/>
      <c r="R58" s="18"/>
      <c r="S58"/>
      <c r="T58" s="10"/>
      <c r="U58" s="10"/>
      <c r="V58" s="10"/>
      <c r="W58" s="10"/>
      <c r="X58" s="83"/>
      <c r="Y58" s="169"/>
      <c r="Z58" s="82"/>
      <c r="AA58" s="304"/>
      <c r="AB58" s="304"/>
      <c r="AC58" s="304"/>
      <c r="AD58" s="304"/>
      <c r="AE58" s="83"/>
      <c r="AG58" s="117"/>
      <c r="AH58" s="116"/>
      <c r="AI58" s="972"/>
    </row>
    <row r="59" spans="2:38" ht="42.45" customHeight="1">
      <c r="B59" s="9"/>
      <c r="C59" s="948" t="s">
        <v>1155</v>
      </c>
      <c r="D59" s="949"/>
      <c r="E59" s="949"/>
      <c r="F59" s="950"/>
      <c r="G59" s="12"/>
      <c r="H59" s="165"/>
      <c r="I59" s="82"/>
      <c r="J59" s="812">
        <v>2.5</v>
      </c>
      <c r="K59" s="815" t="s">
        <v>1016</v>
      </c>
      <c r="L59" s="815"/>
      <c r="M59" s="815"/>
      <c r="N59" s="10"/>
      <c r="O59" s="629" t="s">
        <v>283</v>
      </c>
      <c r="P59" s="630"/>
      <c r="Q59" s="631"/>
      <c r="R59" s="128" t="b">
        <v>0</v>
      </c>
      <c r="S59" s="10"/>
      <c r="T59" s="619" t="s">
        <v>60</v>
      </c>
      <c r="U59" s="619"/>
      <c r="V59" s="619"/>
      <c r="W59" s="619"/>
      <c r="X59" s="12"/>
      <c r="Y59" s="165"/>
      <c r="Z59" s="9"/>
      <c r="AA59" s="964" t="str" cm="1">
        <f t="array" ref="AA59">IF(OR(AG59:AG62, AG63),
    IF(AG63, Feedback_List!B69,
        IF(AND(AG59, AG60, AG61, AG62), "",
            _xlfn.TEXTJOIN(CHAR(10), TRUE,
                AK59,
                _xlfn._xlws.FILTER(AL59:AL62, NOT(AG59:AG62)))
        )
    ),
    "")</f>
        <v/>
      </c>
      <c r="AB59" s="964"/>
      <c r="AC59" s="964"/>
      <c r="AD59" s="964"/>
      <c r="AE59" s="12"/>
      <c r="AF59" s="91"/>
      <c r="AG59" s="117">
        <f>IF(R59, 1, 0)</f>
        <v>0</v>
      </c>
      <c r="AH59" s="116">
        <f>IF(AG59,2,0)</f>
        <v>0</v>
      </c>
      <c r="AI59" s="972"/>
      <c r="AK59" s="114" t="s">
        <v>597</v>
      </c>
      <c r="AL59" s="118" t="s">
        <v>601</v>
      </c>
    </row>
    <row r="60" spans="2:38" ht="42.45" customHeight="1">
      <c r="B60" s="9"/>
      <c r="C60" s="951"/>
      <c r="D60" s="952"/>
      <c r="E60" s="952"/>
      <c r="F60" s="953"/>
      <c r="G60" s="12"/>
      <c r="H60" s="165"/>
      <c r="I60" s="82"/>
      <c r="J60" s="812"/>
      <c r="K60" s="815"/>
      <c r="L60" s="815"/>
      <c r="M60" s="815"/>
      <c r="N60" s="10"/>
      <c r="O60" s="629" t="s">
        <v>1156</v>
      </c>
      <c r="P60" s="630"/>
      <c r="Q60" s="631"/>
      <c r="R60" s="128" t="b">
        <v>0</v>
      </c>
      <c r="S60" s="10"/>
      <c r="T60" s="619"/>
      <c r="U60" s="619"/>
      <c r="V60" s="619"/>
      <c r="W60" s="619"/>
      <c r="X60" s="12"/>
      <c r="Y60" s="165"/>
      <c r="Z60" s="9"/>
      <c r="AA60" s="964"/>
      <c r="AB60" s="964"/>
      <c r="AC60" s="964"/>
      <c r="AD60" s="964"/>
      <c r="AE60" s="12"/>
      <c r="AF60" s="91"/>
      <c r="AG60" s="117">
        <f t="shared" ref="AG60:AG63" si="8">IF(R60, 1, 0)</f>
        <v>0</v>
      </c>
      <c r="AH60" s="116">
        <f t="shared" ref="AH60:AH62" si="9">IF(AG60,2,0)</f>
        <v>0</v>
      </c>
      <c r="AI60" s="972"/>
      <c r="AL60" s="118" t="s">
        <v>602</v>
      </c>
    </row>
    <row r="61" spans="2:38" ht="42.45" customHeight="1">
      <c r="B61" s="9"/>
      <c r="C61" s="951"/>
      <c r="D61" s="952"/>
      <c r="E61" s="952"/>
      <c r="F61" s="953"/>
      <c r="G61" s="12"/>
      <c r="H61" s="165"/>
      <c r="I61" s="82"/>
      <c r="J61" s="812"/>
      <c r="K61" s="815"/>
      <c r="L61" s="815"/>
      <c r="M61" s="815"/>
      <c r="N61" s="10"/>
      <c r="O61" s="629" t="s">
        <v>1157</v>
      </c>
      <c r="P61" s="630"/>
      <c r="Q61" s="631"/>
      <c r="R61" s="128" t="b">
        <v>0</v>
      </c>
      <c r="S61" s="10"/>
      <c r="T61" s="619"/>
      <c r="U61" s="619"/>
      <c r="V61" s="619"/>
      <c r="W61" s="619"/>
      <c r="X61" s="12"/>
      <c r="Y61" s="165"/>
      <c r="Z61" s="9"/>
      <c r="AA61" s="964"/>
      <c r="AB61" s="964"/>
      <c r="AC61" s="964"/>
      <c r="AD61" s="964"/>
      <c r="AE61" s="12"/>
      <c r="AF61" s="91"/>
      <c r="AG61" s="117">
        <f t="shared" si="8"/>
        <v>0</v>
      </c>
      <c r="AH61" s="116">
        <f t="shared" si="9"/>
        <v>0</v>
      </c>
      <c r="AI61" s="972"/>
      <c r="AL61" s="118" t="s">
        <v>603</v>
      </c>
    </row>
    <row r="62" spans="2:38" ht="42.45" customHeight="1">
      <c r="B62" s="9"/>
      <c r="C62" s="951"/>
      <c r="D62" s="952"/>
      <c r="E62" s="952"/>
      <c r="F62" s="953"/>
      <c r="G62" s="12"/>
      <c r="H62" s="165"/>
      <c r="I62" s="82"/>
      <c r="J62" s="812"/>
      <c r="K62" s="815"/>
      <c r="L62" s="815"/>
      <c r="M62" s="815"/>
      <c r="N62" s="10"/>
      <c r="O62" s="629" t="s">
        <v>284</v>
      </c>
      <c r="P62" s="630"/>
      <c r="Q62" s="631"/>
      <c r="R62" s="128" t="b">
        <v>0</v>
      </c>
      <c r="S62" s="10"/>
      <c r="T62" s="619"/>
      <c r="U62" s="619"/>
      <c r="V62" s="619"/>
      <c r="W62" s="619"/>
      <c r="X62" s="12"/>
      <c r="Y62" s="165"/>
      <c r="Z62" s="9"/>
      <c r="AA62" s="964"/>
      <c r="AB62" s="964"/>
      <c r="AC62" s="964"/>
      <c r="AD62" s="964"/>
      <c r="AE62" s="12"/>
      <c r="AF62" s="91"/>
      <c r="AG62" s="117">
        <f t="shared" si="8"/>
        <v>0</v>
      </c>
      <c r="AH62" s="116">
        <f t="shared" si="9"/>
        <v>0</v>
      </c>
      <c r="AI62" s="972"/>
      <c r="AL62" s="118" t="s">
        <v>604</v>
      </c>
    </row>
    <row r="63" spans="2:38" ht="42.45" customHeight="1">
      <c r="B63" s="9"/>
      <c r="C63" s="951"/>
      <c r="D63" s="952"/>
      <c r="E63" s="952"/>
      <c r="F63" s="953"/>
      <c r="G63" s="12"/>
      <c r="H63" s="165"/>
      <c r="I63" s="82"/>
      <c r="J63" s="812"/>
      <c r="K63" s="815"/>
      <c r="L63" s="815"/>
      <c r="M63" s="815"/>
      <c r="N63" s="10"/>
      <c r="O63" s="629" t="s">
        <v>281</v>
      </c>
      <c r="P63" s="630"/>
      <c r="Q63" s="631"/>
      <c r="R63" s="128" t="b">
        <v>0</v>
      </c>
      <c r="S63" s="10"/>
      <c r="T63" s="619"/>
      <c r="U63" s="619"/>
      <c r="V63" s="619"/>
      <c r="W63" s="619"/>
      <c r="X63" s="12"/>
      <c r="Y63" s="165"/>
      <c r="Z63" s="9"/>
      <c r="AA63" s="964"/>
      <c r="AB63" s="964"/>
      <c r="AC63" s="964"/>
      <c r="AD63" s="964"/>
      <c r="AE63" s="12"/>
      <c r="AF63" s="91"/>
      <c r="AG63" s="117">
        <f t="shared" si="8"/>
        <v>0</v>
      </c>
      <c r="AH63" s="116"/>
      <c r="AI63" s="972"/>
    </row>
    <row r="64" spans="2:38" ht="42.45" customHeight="1">
      <c r="B64" s="9"/>
      <c r="C64" s="954"/>
      <c r="D64" s="955"/>
      <c r="E64" s="955"/>
      <c r="F64" s="956"/>
      <c r="G64" s="12"/>
      <c r="H64" s="165"/>
      <c r="I64" s="82"/>
      <c r="J64" s="812"/>
      <c r="K64" s="815"/>
      <c r="L64" s="815"/>
      <c r="M64" s="815"/>
      <c r="N64" s="10"/>
      <c r="O64" s="629" t="s">
        <v>171</v>
      </c>
      <c r="P64" s="630"/>
      <c r="Q64" s="631"/>
      <c r="R64" s="128" t="b">
        <v>0</v>
      </c>
      <c r="S64" s="10"/>
      <c r="T64" s="619"/>
      <c r="U64" s="619"/>
      <c r="V64" s="619"/>
      <c r="W64" s="619"/>
      <c r="X64" s="12"/>
      <c r="Y64" s="165"/>
      <c r="Z64" s="9"/>
      <c r="AA64" s="964"/>
      <c r="AB64" s="964"/>
      <c r="AC64" s="964"/>
      <c r="AD64" s="964"/>
      <c r="AE64" s="12"/>
      <c r="AF64" s="91"/>
      <c r="AG64" s="117"/>
      <c r="AH64" s="116"/>
      <c r="AI64" s="972"/>
    </row>
    <row r="65" spans="2:38">
      <c r="B65" s="82"/>
      <c r="C65" s="17"/>
      <c r="D65" s="17"/>
      <c r="E65" s="17"/>
      <c r="F65" s="17"/>
      <c r="G65" s="83"/>
      <c r="H65" s="169"/>
      <c r="I65" s="82"/>
      <c r="J65" s="65"/>
      <c r="K65" s="216" t="s">
        <v>620</v>
      </c>
      <c r="L65" s="216"/>
      <c r="M65" s="216"/>
      <c r="N65"/>
      <c r="O65" s="10"/>
      <c r="P65" s="18"/>
      <c r="Q65" s="18"/>
      <c r="R65" s="18"/>
      <c r="S65"/>
      <c r="T65" s="10"/>
      <c r="U65" s="10"/>
      <c r="V65" s="10"/>
      <c r="W65" s="10"/>
      <c r="X65" s="83"/>
      <c r="Y65" s="169"/>
      <c r="Z65" s="82"/>
      <c r="AA65" s="304"/>
      <c r="AB65" s="304"/>
      <c r="AC65" s="304"/>
      <c r="AD65" s="304"/>
      <c r="AE65" s="83"/>
      <c r="AG65" s="117"/>
      <c r="AH65" s="116"/>
      <c r="AI65" s="972"/>
    </row>
    <row r="66" spans="2:38" ht="55.5" customHeight="1">
      <c r="B66" s="9"/>
      <c r="C66" s="948" t="s">
        <v>1158</v>
      </c>
      <c r="D66" s="949"/>
      <c r="E66" s="949"/>
      <c r="F66" s="950"/>
      <c r="G66" s="12"/>
      <c r="H66" s="165"/>
      <c r="I66" s="82"/>
      <c r="J66" s="812">
        <v>2.6</v>
      </c>
      <c r="K66" s="815" t="s">
        <v>1109</v>
      </c>
      <c r="L66" s="815"/>
      <c r="M66" s="815"/>
      <c r="N66" s="10"/>
      <c r="O66" s="629" t="s">
        <v>286</v>
      </c>
      <c r="P66" s="630"/>
      <c r="Q66" s="631"/>
      <c r="R66" s="128" t="b">
        <v>0</v>
      </c>
      <c r="S66" s="10"/>
      <c r="T66" s="619" t="s">
        <v>60</v>
      </c>
      <c r="U66" s="619"/>
      <c r="V66" s="619"/>
      <c r="W66" s="619"/>
      <c r="X66" s="12"/>
      <c r="Y66" s="165"/>
      <c r="Z66" s="9"/>
      <c r="AA66" s="964" t="str" cm="1">
        <f t="array" ref="AA66">IF(OR(AG66:AG68, AG69),
    IF(AG69, Feedback_List!B70,
        IF(AND(AG66, AG67, AG68), "",
            _xlfn.TEXTJOIN(CHAR(10), TRUE,
                AK66,
                _xlfn._xlws.FILTER(AL66:AL68, NOT(AG66:AG68)))
        )
    ),
    "")</f>
        <v/>
      </c>
      <c r="AB66" s="964"/>
      <c r="AC66" s="964"/>
      <c r="AD66" s="964"/>
      <c r="AE66" s="12"/>
      <c r="AF66" s="91"/>
      <c r="AG66" s="117">
        <f>IF(R66, 1, 0)</f>
        <v>0</v>
      </c>
      <c r="AH66" s="116">
        <f>IF(AG66,2,0)</f>
        <v>0</v>
      </c>
      <c r="AI66" s="972"/>
      <c r="AK66" s="114" t="s">
        <v>598</v>
      </c>
      <c r="AL66" s="118" t="s">
        <v>605</v>
      </c>
    </row>
    <row r="67" spans="2:38" ht="55.5" customHeight="1">
      <c r="B67" s="9"/>
      <c r="C67" s="951"/>
      <c r="D67" s="952"/>
      <c r="E67" s="952"/>
      <c r="F67" s="953"/>
      <c r="G67" s="12"/>
      <c r="H67" s="165"/>
      <c r="I67" s="82"/>
      <c r="J67" s="812"/>
      <c r="K67" s="815"/>
      <c r="L67" s="815"/>
      <c r="M67" s="815"/>
      <c r="N67" s="10"/>
      <c r="O67" s="629" t="s">
        <v>287</v>
      </c>
      <c r="P67" s="630"/>
      <c r="Q67" s="631"/>
      <c r="R67" s="128" t="b">
        <v>0</v>
      </c>
      <c r="S67" s="10"/>
      <c r="T67" s="619"/>
      <c r="U67" s="619"/>
      <c r="V67" s="619"/>
      <c r="W67" s="619"/>
      <c r="X67" s="12"/>
      <c r="Y67" s="165"/>
      <c r="Z67" s="9"/>
      <c r="AA67" s="964"/>
      <c r="AB67" s="964"/>
      <c r="AC67" s="964"/>
      <c r="AD67" s="964"/>
      <c r="AE67" s="12"/>
      <c r="AF67" s="91"/>
      <c r="AG67" s="117">
        <f t="shared" ref="AG67:AG69" si="10">IF(R67, 1, 0)</f>
        <v>0</v>
      </c>
      <c r="AH67" s="116">
        <f t="shared" ref="AH67:AH68" si="11">IF(AG67,2,0)</f>
        <v>0</v>
      </c>
      <c r="AI67" s="972"/>
      <c r="AL67" s="118" t="s">
        <v>606</v>
      </c>
    </row>
    <row r="68" spans="2:38" ht="55.5" customHeight="1">
      <c r="B68" s="9"/>
      <c r="C68" s="951"/>
      <c r="D68" s="952"/>
      <c r="E68" s="952"/>
      <c r="F68" s="953"/>
      <c r="G68" s="12"/>
      <c r="H68" s="165"/>
      <c r="I68" s="82"/>
      <c r="J68" s="812"/>
      <c r="K68" s="815"/>
      <c r="L68" s="815"/>
      <c r="M68" s="815"/>
      <c r="N68" s="10"/>
      <c r="O68" s="629" t="s">
        <v>288</v>
      </c>
      <c r="P68" s="630"/>
      <c r="Q68" s="631"/>
      <c r="R68" s="128" t="b">
        <v>0</v>
      </c>
      <c r="S68" s="10"/>
      <c r="T68" s="619"/>
      <c r="U68" s="619"/>
      <c r="V68" s="619"/>
      <c r="W68" s="619"/>
      <c r="X68" s="12"/>
      <c r="Y68" s="165"/>
      <c r="Z68" s="9"/>
      <c r="AA68" s="964"/>
      <c r="AB68" s="964"/>
      <c r="AC68" s="964"/>
      <c r="AD68" s="964"/>
      <c r="AE68" s="12"/>
      <c r="AF68" s="91"/>
      <c r="AG68" s="117">
        <f t="shared" si="10"/>
        <v>0</v>
      </c>
      <c r="AH68" s="116">
        <f t="shared" si="11"/>
        <v>0</v>
      </c>
      <c r="AI68" s="972"/>
      <c r="AL68" s="118" t="s">
        <v>607</v>
      </c>
    </row>
    <row r="69" spans="2:38" ht="55.5" customHeight="1">
      <c r="B69" s="9"/>
      <c r="C69" s="951"/>
      <c r="D69" s="952"/>
      <c r="E69" s="952"/>
      <c r="F69" s="953"/>
      <c r="G69" s="12"/>
      <c r="H69" s="165"/>
      <c r="I69" s="82"/>
      <c r="J69" s="812"/>
      <c r="K69" s="815"/>
      <c r="L69" s="815"/>
      <c r="M69" s="815"/>
      <c r="N69" s="10"/>
      <c r="O69" s="629" t="s">
        <v>434</v>
      </c>
      <c r="P69" s="630"/>
      <c r="Q69" s="631"/>
      <c r="R69" s="128" t="b">
        <v>0</v>
      </c>
      <c r="S69" s="10"/>
      <c r="T69" s="619"/>
      <c r="U69" s="619"/>
      <c r="V69" s="619"/>
      <c r="W69" s="619"/>
      <c r="X69" s="12"/>
      <c r="Y69" s="165"/>
      <c r="Z69" s="9"/>
      <c r="AA69" s="964"/>
      <c r="AB69" s="964"/>
      <c r="AC69" s="964"/>
      <c r="AD69" s="964"/>
      <c r="AE69" s="12"/>
      <c r="AF69" s="91"/>
      <c r="AG69" s="117">
        <f t="shared" si="10"/>
        <v>0</v>
      </c>
      <c r="AH69" s="116"/>
      <c r="AI69" s="972"/>
    </row>
    <row r="70" spans="2:38" ht="55.5" customHeight="1">
      <c r="B70" s="9"/>
      <c r="C70" s="954"/>
      <c r="D70" s="955"/>
      <c r="E70" s="955"/>
      <c r="F70" s="956"/>
      <c r="G70" s="12"/>
      <c r="H70" s="165"/>
      <c r="I70" s="82"/>
      <c r="J70" s="812"/>
      <c r="K70" s="815"/>
      <c r="L70" s="815"/>
      <c r="M70" s="815"/>
      <c r="N70" s="10"/>
      <c r="O70" s="629" t="s">
        <v>171</v>
      </c>
      <c r="P70" s="630"/>
      <c r="Q70" s="631"/>
      <c r="R70" s="128" t="b">
        <v>0</v>
      </c>
      <c r="S70" s="10"/>
      <c r="T70" s="619"/>
      <c r="U70" s="619"/>
      <c r="V70" s="619"/>
      <c r="W70" s="619"/>
      <c r="X70" s="12"/>
      <c r="Y70" s="165"/>
      <c r="Z70" s="9"/>
      <c r="AA70" s="964"/>
      <c r="AB70" s="964"/>
      <c r="AC70" s="964"/>
      <c r="AD70" s="964"/>
      <c r="AE70" s="12"/>
      <c r="AF70" s="91"/>
      <c r="AG70" s="117"/>
      <c r="AH70" s="116"/>
      <c r="AI70" s="972"/>
    </row>
    <row r="71" spans="2:38">
      <c r="B71" s="82"/>
      <c r="C71" s="17"/>
      <c r="D71" s="17"/>
      <c r="E71" s="17"/>
      <c r="F71" s="17"/>
      <c r="G71" s="83"/>
      <c r="H71" s="169"/>
      <c r="I71" s="82"/>
      <c r="J71" s="65"/>
      <c r="K71" s="216"/>
      <c r="L71" s="216"/>
      <c r="M71" s="216"/>
      <c r="N71"/>
      <c r="O71" s="10"/>
      <c r="P71" s="18"/>
      <c r="Q71" s="18"/>
      <c r="R71" s="18"/>
      <c r="S71"/>
      <c r="T71" s="10"/>
      <c r="U71" s="10"/>
      <c r="V71" s="10"/>
      <c r="W71" s="10"/>
      <c r="X71" s="83"/>
      <c r="Y71" s="169"/>
      <c r="Z71" s="82"/>
      <c r="AA71" s="8"/>
      <c r="AB71" s="304"/>
      <c r="AC71" s="304"/>
      <c r="AD71" s="304"/>
      <c r="AE71" s="83"/>
      <c r="AG71" s="117"/>
      <c r="AH71" s="116"/>
      <c r="AI71" s="972"/>
    </row>
    <row r="72" spans="2:38" ht="65.55" customHeight="1">
      <c r="B72" s="9"/>
      <c r="C72" s="948" t="s">
        <v>1159</v>
      </c>
      <c r="D72" s="949"/>
      <c r="E72" s="949"/>
      <c r="F72" s="950"/>
      <c r="G72" s="12"/>
      <c r="H72" s="165"/>
      <c r="I72" s="82"/>
      <c r="J72" s="812">
        <v>2.7</v>
      </c>
      <c r="K72" s="815" t="s">
        <v>1024</v>
      </c>
      <c r="L72" s="815"/>
      <c r="M72" s="815"/>
      <c r="N72" s="10"/>
      <c r="O72" s="579" t="s">
        <v>1054</v>
      </c>
      <c r="P72" s="580"/>
      <c r="Q72" s="581"/>
      <c r="R72" s="128" t="b">
        <v>0</v>
      </c>
      <c r="S72" s="10"/>
      <c r="T72" s="619" t="s">
        <v>60</v>
      </c>
      <c r="U72" s="619"/>
      <c r="V72" s="619"/>
      <c r="W72" s="619"/>
      <c r="X72" s="12"/>
      <c r="Y72" s="165"/>
      <c r="Z72" s="9" t="s">
        <v>328</v>
      </c>
      <c r="AA72" s="964" t="str" cm="1">
        <f t="array" ref="AA72">IF(OR(AG72:AG77),
    IF(AG77, Feedback_List!B71,
        IF(AND(AG72, AG73, AG74, AG75, AG76), "",
            _xlfn.TEXTJOIN(CHAR(10), TRUE,
                AK72,
                _xlfn._xlws.FILTER(AL72:AL76, NOT(AG72:AG76)))
        )
    ),
    "")</f>
        <v/>
      </c>
      <c r="AB72" s="964"/>
      <c r="AC72" s="964"/>
      <c r="AD72" s="964"/>
      <c r="AE72" s="12"/>
      <c r="AF72" s="91"/>
      <c r="AG72" s="117">
        <f>IF(R72, 1, 0)</f>
        <v>0</v>
      </c>
      <c r="AH72" s="116">
        <f>IF(AG72,2,0)</f>
        <v>0</v>
      </c>
      <c r="AI72" s="972"/>
      <c r="AK72" s="114" t="s">
        <v>599</v>
      </c>
      <c r="AL72" s="118" t="s">
        <v>596</v>
      </c>
    </row>
    <row r="73" spans="2:38" ht="65.55" customHeight="1">
      <c r="B73" s="9"/>
      <c r="C73" s="951"/>
      <c r="D73" s="952"/>
      <c r="E73" s="952"/>
      <c r="F73" s="953"/>
      <c r="G73" s="12"/>
      <c r="H73" s="165"/>
      <c r="I73" s="82"/>
      <c r="J73" s="812"/>
      <c r="K73" s="815"/>
      <c r="L73" s="815"/>
      <c r="M73" s="815"/>
      <c r="N73" s="10"/>
      <c r="O73" s="629" t="s">
        <v>1053</v>
      </c>
      <c r="P73" s="630"/>
      <c r="Q73" s="631"/>
      <c r="R73" s="128" t="b">
        <v>0</v>
      </c>
      <c r="S73" s="10"/>
      <c r="T73" s="619"/>
      <c r="U73" s="619"/>
      <c r="V73" s="619"/>
      <c r="W73" s="619"/>
      <c r="X73" s="12"/>
      <c r="Y73" s="165"/>
      <c r="Z73" s="9"/>
      <c r="AA73" s="964"/>
      <c r="AB73" s="964"/>
      <c r="AC73" s="964"/>
      <c r="AD73" s="964"/>
      <c r="AE73" s="12"/>
      <c r="AF73" s="91"/>
      <c r="AG73" s="117">
        <f t="shared" ref="AG73" si="12">IF(R73, 1, 0)</f>
        <v>0</v>
      </c>
      <c r="AH73" s="116">
        <f t="shared" ref="AH73:AH75" si="13">IF(AG73,2,0)</f>
        <v>0</v>
      </c>
      <c r="AI73" s="972"/>
      <c r="AL73" s="118" t="s">
        <v>608</v>
      </c>
    </row>
    <row r="74" spans="2:38" ht="65.55" customHeight="1">
      <c r="B74" s="9"/>
      <c r="C74" s="951"/>
      <c r="D74" s="952"/>
      <c r="E74" s="952"/>
      <c r="F74" s="953"/>
      <c r="G74" s="12"/>
      <c r="H74" s="165"/>
      <c r="I74" s="82"/>
      <c r="J74" s="812"/>
      <c r="K74" s="815"/>
      <c r="L74" s="815"/>
      <c r="M74" s="815"/>
      <c r="N74" s="10"/>
      <c r="O74" s="629" t="s">
        <v>289</v>
      </c>
      <c r="P74" s="630"/>
      <c r="Q74" s="631"/>
      <c r="R74" s="128" t="b">
        <v>0</v>
      </c>
      <c r="S74" s="10"/>
      <c r="T74" s="619"/>
      <c r="U74" s="619"/>
      <c r="V74" s="619"/>
      <c r="W74" s="619"/>
      <c r="X74" s="12"/>
      <c r="Y74" s="165"/>
      <c r="Z74" s="9"/>
      <c r="AA74" s="964"/>
      <c r="AB74" s="964"/>
      <c r="AC74" s="964"/>
      <c r="AD74" s="964"/>
      <c r="AE74" s="12"/>
      <c r="AF74" s="91"/>
      <c r="AG74" s="117">
        <f>IF(R74, 1, 0)</f>
        <v>0</v>
      </c>
      <c r="AH74" s="116">
        <f t="shared" si="13"/>
        <v>0</v>
      </c>
      <c r="AI74" s="972"/>
      <c r="AL74" s="118" t="s">
        <v>609</v>
      </c>
    </row>
    <row r="75" spans="2:38" ht="65.55" customHeight="1">
      <c r="B75" s="9"/>
      <c r="C75" s="951"/>
      <c r="D75" s="952"/>
      <c r="E75" s="952"/>
      <c r="F75" s="953"/>
      <c r="G75" s="12"/>
      <c r="H75" s="165"/>
      <c r="I75" s="82"/>
      <c r="J75" s="812"/>
      <c r="K75" s="815"/>
      <c r="L75" s="815"/>
      <c r="M75" s="815"/>
      <c r="N75" s="10"/>
      <c r="O75" s="629" t="s">
        <v>290</v>
      </c>
      <c r="P75" s="630"/>
      <c r="Q75" s="631"/>
      <c r="R75" s="128" t="b">
        <v>0</v>
      </c>
      <c r="S75" s="10"/>
      <c r="T75" s="619"/>
      <c r="U75" s="619"/>
      <c r="V75" s="619"/>
      <c r="W75" s="619"/>
      <c r="X75" s="12"/>
      <c r="Y75" s="165"/>
      <c r="Z75" s="9"/>
      <c r="AA75" s="964"/>
      <c r="AB75" s="964"/>
      <c r="AC75" s="964"/>
      <c r="AD75" s="964"/>
      <c r="AE75" s="12"/>
      <c r="AF75" s="91"/>
      <c r="AG75" s="117">
        <f>IF(R75, 1, 0)</f>
        <v>0</v>
      </c>
      <c r="AH75" s="116">
        <f t="shared" si="13"/>
        <v>0</v>
      </c>
      <c r="AI75" s="972"/>
      <c r="AL75" s="118" t="s">
        <v>1084</v>
      </c>
    </row>
    <row r="76" spans="2:38" ht="65.55" customHeight="1">
      <c r="B76" s="9"/>
      <c r="C76" s="951"/>
      <c r="D76" s="952"/>
      <c r="E76" s="952"/>
      <c r="F76" s="953"/>
      <c r="G76" s="12"/>
      <c r="H76" s="165"/>
      <c r="I76" s="82"/>
      <c r="J76" s="812"/>
      <c r="K76" s="815"/>
      <c r="L76" s="815"/>
      <c r="M76" s="815"/>
      <c r="N76" s="10"/>
      <c r="O76" s="579" t="s">
        <v>282</v>
      </c>
      <c r="P76" s="580"/>
      <c r="Q76" s="581"/>
      <c r="R76" s="128" t="b">
        <v>0</v>
      </c>
      <c r="S76" s="10"/>
      <c r="T76" s="619"/>
      <c r="U76" s="619"/>
      <c r="V76" s="619"/>
      <c r="W76" s="619"/>
      <c r="X76" s="12"/>
      <c r="Y76" s="165"/>
      <c r="Z76" s="9"/>
      <c r="AA76" s="964"/>
      <c r="AB76" s="964"/>
      <c r="AC76" s="964"/>
      <c r="AD76" s="964"/>
      <c r="AE76" s="12"/>
      <c r="AF76" s="91"/>
      <c r="AG76" s="117">
        <f>IF(R76, 1, 0)</f>
        <v>0</v>
      </c>
      <c r="AH76" s="116"/>
      <c r="AI76" s="972"/>
      <c r="AL76" s="118" t="s">
        <v>1085</v>
      </c>
    </row>
    <row r="77" spans="2:38" ht="65.55" customHeight="1">
      <c r="B77" s="9"/>
      <c r="C77" s="951"/>
      <c r="D77" s="952"/>
      <c r="E77" s="952"/>
      <c r="F77" s="953"/>
      <c r="G77" s="12"/>
      <c r="H77" s="165"/>
      <c r="I77" s="82"/>
      <c r="J77" s="812"/>
      <c r="K77" s="815"/>
      <c r="L77" s="815"/>
      <c r="M77" s="815"/>
      <c r="N77" s="10"/>
      <c r="O77" s="629" t="s">
        <v>434</v>
      </c>
      <c r="P77" s="630"/>
      <c r="Q77" s="631"/>
      <c r="R77" s="128" t="b">
        <v>0</v>
      </c>
      <c r="S77" s="10"/>
      <c r="T77" s="619"/>
      <c r="U77" s="619"/>
      <c r="V77" s="619"/>
      <c r="W77" s="619"/>
      <c r="X77" s="12"/>
      <c r="Y77" s="165"/>
      <c r="Z77" s="9"/>
      <c r="AA77" s="964"/>
      <c r="AB77" s="964"/>
      <c r="AC77" s="964"/>
      <c r="AD77" s="964"/>
      <c r="AE77" s="12"/>
      <c r="AF77" s="91"/>
      <c r="AG77" s="117">
        <f>IF(R77, 1, 0)</f>
        <v>0</v>
      </c>
      <c r="AH77" s="116"/>
      <c r="AI77" s="972"/>
    </row>
    <row r="78" spans="2:38" ht="65.55" customHeight="1">
      <c r="B78" s="9"/>
      <c r="C78" s="954"/>
      <c r="D78" s="955"/>
      <c r="E78" s="955"/>
      <c r="F78" s="956"/>
      <c r="G78" s="12"/>
      <c r="H78" s="165"/>
      <c r="I78" s="82"/>
      <c r="J78" s="812"/>
      <c r="K78" s="815"/>
      <c r="L78" s="815"/>
      <c r="M78" s="815"/>
      <c r="N78" s="10"/>
      <c r="O78" s="629" t="s">
        <v>171</v>
      </c>
      <c r="P78" s="630"/>
      <c r="Q78" s="631"/>
      <c r="R78" s="128" t="b">
        <v>0</v>
      </c>
      <c r="S78" s="10"/>
      <c r="T78" s="619"/>
      <c r="U78" s="619"/>
      <c r="V78" s="619"/>
      <c r="W78" s="619"/>
      <c r="X78" s="12"/>
      <c r="Y78" s="165"/>
      <c r="Z78" s="9"/>
      <c r="AA78" s="964"/>
      <c r="AB78" s="964"/>
      <c r="AC78" s="964"/>
      <c r="AD78" s="964"/>
      <c r="AE78" s="12"/>
      <c r="AF78" s="91"/>
      <c r="AG78" s="117"/>
      <c r="AH78" s="116"/>
      <c r="AI78" s="972"/>
    </row>
    <row r="79" spans="2:38">
      <c r="B79" s="82"/>
      <c r="C79" s="17"/>
      <c r="D79" s="17"/>
      <c r="E79" s="17"/>
      <c r="F79" s="17"/>
      <c r="G79" s="83"/>
      <c r="H79" s="169"/>
      <c r="I79" s="82"/>
      <c r="J79" s="65"/>
      <c r="K79" s="216"/>
      <c r="L79" s="216"/>
      <c r="M79" s="216"/>
      <c r="N79"/>
      <c r="O79" s="10"/>
      <c r="P79" s="18"/>
      <c r="Q79" s="18"/>
      <c r="R79" s="18"/>
      <c r="S79"/>
      <c r="T79" s="10"/>
      <c r="U79" s="10"/>
      <c r="V79" s="10"/>
      <c r="W79" s="10"/>
      <c r="X79" s="83"/>
      <c r="Y79" s="169"/>
      <c r="Z79" s="82"/>
      <c r="AA79" s="8"/>
      <c r="AB79" s="304"/>
      <c r="AC79" s="304"/>
      <c r="AD79" s="304"/>
      <c r="AE79" s="83"/>
      <c r="AG79" s="117"/>
      <c r="AH79" s="116"/>
      <c r="AI79" s="972"/>
    </row>
    <row r="80" spans="2:38" ht="39.450000000000003" customHeight="1">
      <c r="B80" s="9"/>
      <c r="C80" s="948" t="s">
        <v>1160</v>
      </c>
      <c r="D80" s="949"/>
      <c r="E80" s="949"/>
      <c r="F80" s="950"/>
      <c r="G80" s="12"/>
      <c r="H80" s="165"/>
      <c r="I80" s="82"/>
      <c r="J80" s="812">
        <v>2.8</v>
      </c>
      <c r="K80" s="815" t="s">
        <v>961</v>
      </c>
      <c r="L80" s="815"/>
      <c r="M80" s="815"/>
      <c r="N80" s="10"/>
      <c r="O80" s="629" t="s">
        <v>1161</v>
      </c>
      <c r="P80" s="630"/>
      <c r="Q80" s="631"/>
      <c r="R80" s="128" t="b">
        <v>0</v>
      </c>
      <c r="S80" s="10"/>
      <c r="T80" s="619" t="s">
        <v>60</v>
      </c>
      <c r="U80" s="619"/>
      <c r="V80" s="619"/>
      <c r="W80" s="619"/>
      <c r="X80" s="12"/>
      <c r="Y80" s="165"/>
      <c r="Z80" s="9"/>
      <c r="AA80" s="964" t="str" cm="1">
        <f t="array" ref="AA80">IF(OR(AG80:AG83, AG84),
    IF(AG84, Feedback_List!B72,
        IF(AND(AG80, AG81, AG82, AG83), "",
            _xlfn.TEXTJOIN(CHAR(10), TRUE,
                AK80,
                _xlfn._xlws.FILTER(AL80:AL83, NOT(AG80:AG83)))
        )
    ),
    "")</f>
        <v/>
      </c>
      <c r="AB80" s="964"/>
      <c r="AC80" s="964"/>
      <c r="AD80" s="964"/>
      <c r="AE80" s="12"/>
      <c r="AF80" s="91"/>
      <c r="AG80" s="117">
        <f>IF(R80, 1, 0)</f>
        <v>0</v>
      </c>
      <c r="AH80" s="116">
        <f>IF(AG80,2,0)</f>
        <v>0</v>
      </c>
      <c r="AI80" s="972"/>
      <c r="AK80" s="114" t="s">
        <v>600</v>
      </c>
      <c r="AL80" s="118" t="s">
        <v>610</v>
      </c>
    </row>
    <row r="81" spans="2:38" ht="39.450000000000003" customHeight="1">
      <c r="B81" s="9"/>
      <c r="C81" s="951"/>
      <c r="D81" s="952"/>
      <c r="E81" s="952"/>
      <c r="F81" s="953"/>
      <c r="G81" s="12"/>
      <c r="H81" s="165"/>
      <c r="I81" s="82"/>
      <c r="J81" s="812"/>
      <c r="K81" s="815"/>
      <c r="L81" s="815"/>
      <c r="M81" s="815"/>
      <c r="N81" s="10"/>
      <c r="O81" s="629" t="s">
        <v>1162</v>
      </c>
      <c r="P81" s="630"/>
      <c r="Q81" s="631"/>
      <c r="R81" s="128" t="b">
        <v>0</v>
      </c>
      <c r="S81" s="10"/>
      <c r="T81" s="619"/>
      <c r="U81" s="619"/>
      <c r="V81" s="619"/>
      <c r="W81" s="619"/>
      <c r="X81" s="12"/>
      <c r="Y81" s="165"/>
      <c r="Z81" s="9"/>
      <c r="AA81" s="964"/>
      <c r="AB81" s="964"/>
      <c r="AC81" s="964"/>
      <c r="AD81" s="964"/>
      <c r="AE81" s="12"/>
      <c r="AF81" s="91"/>
      <c r="AG81" s="117">
        <f t="shared" ref="AG81:AG84" si="14">IF(R81, 1, 0)</f>
        <v>0</v>
      </c>
      <c r="AH81" s="116">
        <f t="shared" ref="AH81:AH83" si="15">IF(AG81,2,0)</f>
        <v>0</v>
      </c>
      <c r="AI81" s="972"/>
      <c r="AL81" s="118" t="s">
        <v>611</v>
      </c>
    </row>
    <row r="82" spans="2:38" ht="39.450000000000003" customHeight="1">
      <c r="B82" s="9"/>
      <c r="C82" s="951"/>
      <c r="D82" s="952"/>
      <c r="E82" s="952"/>
      <c r="F82" s="953"/>
      <c r="G82" s="12"/>
      <c r="H82" s="165"/>
      <c r="I82" s="82"/>
      <c r="J82" s="812"/>
      <c r="K82" s="815"/>
      <c r="L82" s="815"/>
      <c r="M82" s="815"/>
      <c r="N82" s="10"/>
      <c r="O82" s="629" t="s">
        <v>1163</v>
      </c>
      <c r="P82" s="630"/>
      <c r="Q82" s="631"/>
      <c r="R82" s="128" t="b">
        <v>0</v>
      </c>
      <c r="S82" s="10"/>
      <c r="T82" s="619"/>
      <c r="U82" s="619"/>
      <c r="V82" s="619"/>
      <c r="W82" s="619"/>
      <c r="X82" s="12"/>
      <c r="Y82" s="165"/>
      <c r="Z82" s="9"/>
      <c r="AA82" s="964"/>
      <c r="AB82" s="964"/>
      <c r="AC82" s="964"/>
      <c r="AD82" s="964"/>
      <c r="AE82" s="12"/>
      <c r="AF82" s="91"/>
      <c r="AG82" s="117">
        <f t="shared" si="14"/>
        <v>0</v>
      </c>
      <c r="AH82" s="116">
        <f t="shared" si="15"/>
        <v>0</v>
      </c>
      <c r="AI82" s="972"/>
      <c r="AL82" s="118" t="s">
        <v>612</v>
      </c>
    </row>
    <row r="83" spans="2:38" ht="39.450000000000003" customHeight="1">
      <c r="B83" s="9"/>
      <c r="C83" s="951"/>
      <c r="D83" s="952"/>
      <c r="E83" s="952"/>
      <c r="F83" s="953"/>
      <c r="G83" s="12"/>
      <c r="H83" s="165"/>
      <c r="I83" s="82"/>
      <c r="J83" s="812"/>
      <c r="K83" s="815"/>
      <c r="L83" s="815"/>
      <c r="M83" s="815"/>
      <c r="N83" s="10"/>
      <c r="O83" s="629" t="s">
        <v>291</v>
      </c>
      <c r="P83" s="630"/>
      <c r="Q83" s="631"/>
      <c r="R83" s="128" t="b">
        <v>0</v>
      </c>
      <c r="S83" s="10"/>
      <c r="T83" s="619"/>
      <c r="U83" s="619"/>
      <c r="V83" s="619"/>
      <c r="W83" s="619"/>
      <c r="X83" s="12"/>
      <c r="Y83" s="165"/>
      <c r="Z83" s="9"/>
      <c r="AA83" s="964"/>
      <c r="AB83" s="964"/>
      <c r="AC83" s="964"/>
      <c r="AD83" s="964"/>
      <c r="AE83" s="12"/>
      <c r="AF83" s="91"/>
      <c r="AG83" s="117">
        <f t="shared" si="14"/>
        <v>0</v>
      </c>
      <c r="AH83" s="116">
        <f t="shared" si="15"/>
        <v>0</v>
      </c>
      <c r="AI83" s="972"/>
      <c r="AL83" s="118" t="s">
        <v>613</v>
      </c>
    </row>
    <row r="84" spans="2:38" ht="39.450000000000003" customHeight="1">
      <c r="B84" s="9"/>
      <c r="C84" s="951"/>
      <c r="D84" s="952"/>
      <c r="E84" s="952"/>
      <c r="F84" s="953"/>
      <c r="G84" s="12"/>
      <c r="H84" s="165"/>
      <c r="I84" s="82"/>
      <c r="J84" s="812"/>
      <c r="K84" s="815"/>
      <c r="L84" s="815"/>
      <c r="M84" s="815"/>
      <c r="N84" s="10"/>
      <c r="O84" s="629" t="s">
        <v>434</v>
      </c>
      <c r="P84" s="630"/>
      <c r="Q84" s="631"/>
      <c r="R84" s="128" t="b">
        <v>0</v>
      </c>
      <c r="S84" s="10"/>
      <c r="T84" s="619"/>
      <c r="U84" s="619"/>
      <c r="V84" s="619"/>
      <c r="W84" s="619"/>
      <c r="X84" s="12"/>
      <c r="Y84" s="165"/>
      <c r="Z84" s="9"/>
      <c r="AA84" s="964"/>
      <c r="AB84" s="964"/>
      <c r="AC84" s="964"/>
      <c r="AD84" s="964"/>
      <c r="AE84" s="12"/>
      <c r="AF84" s="91"/>
      <c r="AG84" s="117">
        <f t="shared" si="14"/>
        <v>0</v>
      </c>
      <c r="AH84" s="116"/>
      <c r="AI84" s="972"/>
    </row>
    <row r="85" spans="2:38" ht="39.450000000000003" customHeight="1">
      <c r="B85" s="9"/>
      <c r="C85" s="954"/>
      <c r="D85" s="955"/>
      <c r="E85" s="955"/>
      <c r="F85" s="956"/>
      <c r="G85" s="12"/>
      <c r="H85" s="165"/>
      <c r="I85" s="82"/>
      <c r="J85" s="812"/>
      <c r="K85" s="815"/>
      <c r="L85" s="815"/>
      <c r="M85" s="815"/>
      <c r="N85" s="10"/>
      <c r="O85" s="629" t="s">
        <v>171</v>
      </c>
      <c r="P85" s="630"/>
      <c r="Q85" s="631"/>
      <c r="R85" s="128" t="b">
        <v>0</v>
      </c>
      <c r="S85" s="10"/>
      <c r="T85" s="619"/>
      <c r="U85" s="619"/>
      <c r="V85" s="619"/>
      <c r="W85" s="619"/>
      <c r="X85" s="12"/>
      <c r="Y85" s="165"/>
      <c r="Z85" s="9"/>
      <c r="AA85" s="964"/>
      <c r="AB85" s="964"/>
      <c r="AC85" s="964"/>
      <c r="AD85" s="964"/>
      <c r="AE85" s="12"/>
      <c r="AF85" s="91"/>
      <c r="AG85" s="106"/>
      <c r="AH85" s="107"/>
      <c r="AI85" s="973"/>
    </row>
    <row r="86" spans="2:38" ht="18" thickBot="1">
      <c r="B86" s="82"/>
      <c r="C86" s="17"/>
      <c r="D86" s="17"/>
      <c r="E86" s="17"/>
      <c r="F86" s="17"/>
      <c r="G86" s="83"/>
      <c r="H86" s="169"/>
      <c r="I86" s="82"/>
      <c r="J86" s="65"/>
      <c r="K86" s="216"/>
      <c r="L86" s="216"/>
      <c r="M86" s="216"/>
      <c r="N86"/>
      <c r="O86" s="10"/>
      <c r="P86" s="18"/>
      <c r="Q86" s="18"/>
      <c r="R86" s="18"/>
      <c r="S86"/>
      <c r="T86" s="10"/>
      <c r="U86" s="10"/>
      <c r="V86" s="10"/>
      <c r="W86" s="10"/>
      <c r="X86" s="83"/>
      <c r="Y86" s="169"/>
      <c r="Z86" s="82"/>
      <c r="AA86" s="8"/>
      <c r="AB86" s="304"/>
      <c r="AC86" s="304"/>
      <c r="AD86" s="304"/>
      <c r="AE86" s="83"/>
      <c r="AG86" s="123">
        <f>SUM(AG26:AG85)</f>
        <v>0</v>
      </c>
      <c r="AH86" s="123">
        <f>SUM(AH26:AH85)</f>
        <v>0</v>
      </c>
      <c r="AI86" s="123"/>
    </row>
    <row r="87" spans="2:38" ht="18" thickTop="1">
      <c r="B87" s="82"/>
      <c r="C87" s="10"/>
      <c r="D87" s="10"/>
      <c r="E87" s="10"/>
      <c r="F87" s="10"/>
      <c r="G87" s="83"/>
      <c r="H87" s="169"/>
      <c r="I87" s="82"/>
      <c r="J87" s="28" t="s">
        <v>29</v>
      </c>
      <c r="K87" s="209" t="s">
        <v>292</v>
      </c>
      <c r="L87" s="216"/>
      <c r="M87" s="216"/>
      <c r="N87"/>
      <c r="O87" s="10"/>
      <c r="P87" s="18"/>
      <c r="Q87" s="18"/>
      <c r="R87" s="18"/>
      <c r="S87"/>
      <c r="T87" s="10"/>
      <c r="U87" s="10"/>
      <c r="V87" s="10"/>
      <c r="W87" s="10"/>
      <c r="X87" s="83"/>
      <c r="Y87" s="169"/>
      <c r="Z87" s="82"/>
      <c r="AA87" s="8"/>
      <c r="AB87" s="304"/>
      <c r="AC87" s="304"/>
      <c r="AD87" s="304"/>
      <c r="AE87" s="83"/>
    </row>
    <row r="88" spans="2:38">
      <c r="B88" s="82"/>
      <c r="C88" s="10"/>
      <c r="D88" s="10"/>
      <c r="E88" s="10"/>
      <c r="F88" s="10"/>
      <c r="G88" s="83"/>
      <c r="H88" s="169"/>
      <c r="I88" s="82"/>
      <c r="J88" s="65"/>
      <c r="K88" s="216"/>
      <c r="L88" s="216"/>
      <c r="M88" s="216"/>
      <c r="N88"/>
      <c r="O88" s="10"/>
      <c r="P88" s="18"/>
      <c r="Q88" s="18"/>
      <c r="R88" s="18"/>
      <c r="S88"/>
      <c r="T88" s="10"/>
      <c r="U88" s="10"/>
      <c r="V88" s="10"/>
      <c r="W88" s="10"/>
      <c r="X88" s="83"/>
      <c r="Y88" s="169"/>
      <c r="Z88" s="82"/>
      <c r="AA88" s="8"/>
      <c r="AB88" s="304"/>
      <c r="AC88" s="304"/>
      <c r="AD88" s="304"/>
      <c r="AE88" s="83"/>
    </row>
    <row r="89" spans="2:38" ht="19.95" customHeight="1">
      <c r="B89" s="9"/>
      <c r="C89" s="769" t="s">
        <v>1164</v>
      </c>
      <c r="D89" s="770"/>
      <c r="E89" s="770"/>
      <c r="F89" s="771"/>
      <c r="G89" s="12"/>
      <c r="H89" s="165"/>
      <c r="I89" s="82"/>
      <c r="J89" s="840">
        <v>3.1</v>
      </c>
      <c r="K89" s="817" t="s">
        <v>309</v>
      </c>
      <c r="L89" s="818"/>
      <c r="M89" s="819"/>
      <c r="N89" s="10"/>
      <c r="O89" s="629" t="s">
        <v>301</v>
      </c>
      <c r="P89" s="630"/>
      <c r="Q89" s="631"/>
      <c r="R89" s="128" t="b">
        <v>0</v>
      </c>
      <c r="S89" s="10"/>
      <c r="T89" s="920" t="s">
        <v>60</v>
      </c>
      <c r="U89" s="624"/>
      <c r="V89" s="624"/>
      <c r="W89" s="625"/>
      <c r="X89" s="12"/>
      <c r="Y89" s="165"/>
      <c r="Z89" s="9"/>
      <c r="AA89" s="911" t="str">
        <f>IF(AG97, Feedback_List!B74, " ")</f>
        <v xml:space="preserve"> </v>
      </c>
      <c r="AB89" s="912"/>
      <c r="AC89" s="912"/>
      <c r="AD89" s="913"/>
      <c r="AE89" s="12"/>
      <c r="AF89" s="91"/>
      <c r="AG89" s="177">
        <f>IF(R89,1,0)</f>
        <v>0</v>
      </c>
      <c r="AH89" s="250">
        <f>IF(AG89,1,0)</f>
        <v>0</v>
      </c>
      <c r="AI89" s="733">
        <f>SUM(AH89:AH108)*AN9</f>
        <v>0</v>
      </c>
    </row>
    <row r="90" spans="2:38" ht="19.95" customHeight="1">
      <c r="B90" s="9"/>
      <c r="C90" s="772"/>
      <c r="D90" s="773"/>
      <c r="E90" s="773"/>
      <c r="F90" s="774"/>
      <c r="G90" s="12"/>
      <c r="H90" s="165"/>
      <c r="I90" s="82"/>
      <c r="J90" s="841"/>
      <c r="K90" s="820"/>
      <c r="L90" s="821"/>
      <c r="M90" s="822"/>
      <c r="N90" s="10"/>
      <c r="O90" s="629" t="s">
        <v>302</v>
      </c>
      <c r="P90" s="630"/>
      <c r="Q90" s="631"/>
      <c r="R90" s="128" t="b">
        <v>0</v>
      </c>
      <c r="S90" s="10"/>
      <c r="T90" s="921"/>
      <c r="U90" s="645"/>
      <c r="V90" s="645"/>
      <c r="W90" s="646"/>
      <c r="X90" s="12"/>
      <c r="Y90" s="165"/>
      <c r="Z90" s="9"/>
      <c r="AA90" s="914"/>
      <c r="AB90" s="915"/>
      <c r="AC90" s="915"/>
      <c r="AD90" s="916"/>
      <c r="AE90" s="12"/>
      <c r="AF90" s="91"/>
      <c r="AG90" s="117">
        <f t="shared" ref="AG90:AG98" si="16">IF(R90,1,0)</f>
        <v>0</v>
      </c>
      <c r="AH90" s="98">
        <f t="shared" ref="AH90:AH96" si="17">IF(AG90,1,0)</f>
        <v>0</v>
      </c>
      <c r="AI90" s="734"/>
    </row>
    <row r="91" spans="2:38" ht="19.95" customHeight="1">
      <c r="B91" s="9"/>
      <c r="C91" s="772"/>
      <c r="D91" s="773"/>
      <c r="E91" s="773"/>
      <c r="F91" s="774"/>
      <c r="G91" s="12"/>
      <c r="H91" s="165"/>
      <c r="I91" s="82"/>
      <c r="J91" s="841"/>
      <c r="K91" s="820"/>
      <c r="L91" s="821"/>
      <c r="M91" s="822"/>
      <c r="N91" s="10"/>
      <c r="O91" s="629" t="s">
        <v>303</v>
      </c>
      <c r="P91" s="630"/>
      <c r="Q91" s="631"/>
      <c r="R91" s="128" t="b">
        <v>0</v>
      </c>
      <c r="S91" s="10"/>
      <c r="T91" s="921"/>
      <c r="U91" s="645"/>
      <c r="V91" s="645"/>
      <c r="W91" s="646"/>
      <c r="X91" s="12"/>
      <c r="Y91" s="165"/>
      <c r="Z91" s="9"/>
      <c r="AA91" s="914"/>
      <c r="AB91" s="915"/>
      <c r="AC91" s="915"/>
      <c r="AD91" s="916"/>
      <c r="AE91" s="12"/>
      <c r="AF91" s="91"/>
      <c r="AG91" s="117">
        <f t="shared" si="16"/>
        <v>0</v>
      </c>
      <c r="AH91" s="98">
        <f t="shared" si="17"/>
        <v>0</v>
      </c>
      <c r="AI91" s="734"/>
    </row>
    <row r="92" spans="2:38" ht="19.95" customHeight="1">
      <c r="B92" s="9"/>
      <c r="C92" s="772"/>
      <c r="D92" s="773"/>
      <c r="E92" s="773"/>
      <c r="F92" s="774"/>
      <c r="G92" s="12"/>
      <c r="H92" s="165"/>
      <c r="I92" s="82"/>
      <c r="J92" s="841"/>
      <c r="K92" s="820"/>
      <c r="L92" s="821"/>
      <c r="M92" s="822"/>
      <c r="N92" s="10"/>
      <c r="O92" s="629" t="s">
        <v>304</v>
      </c>
      <c r="P92" s="630"/>
      <c r="Q92" s="631"/>
      <c r="R92" s="128" t="b">
        <v>0</v>
      </c>
      <c r="S92" s="10"/>
      <c r="T92" s="921"/>
      <c r="U92" s="645"/>
      <c r="V92" s="645"/>
      <c r="W92" s="646"/>
      <c r="X92" s="12"/>
      <c r="Y92" s="165"/>
      <c r="Z92" s="9"/>
      <c r="AA92" s="914"/>
      <c r="AB92" s="915"/>
      <c r="AC92" s="915"/>
      <c r="AD92" s="916"/>
      <c r="AE92" s="12"/>
      <c r="AF92" s="91"/>
      <c r="AG92" s="117">
        <f t="shared" si="16"/>
        <v>0</v>
      </c>
      <c r="AH92" s="98">
        <f t="shared" si="17"/>
        <v>0</v>
      </c>
      <c r="AI92" s="734"/>
    </row>
    <row r="93" spans="2:38" ht="19.95" customHeight="1">
      <c r="B93" s="9"/>
      <c r="C93" s="772"/>
      <c r="D93" s="773"/>
      <c r="E93" s="773"/>
      <c r="F93" s="774"/>
      <c r="G93" s="12"/>
      <c r="H93" s="165"/>
      <c r="I93" s="82"/>
      <c r="J93" s="841"/>
      <c r="K93" s="820"/>
      <c r="L93" s="821"/>
      <c r="M93" s="822"/>
      <c r="N93" s="10"/>
      <c r="O93" s="629" t="s">
        <v>305</v>
      </c>
      <c r="P93" s="630"/>
      <c r="Q93" s="631"/>
      <c r="R93" s="128" t="b">
        <v>0</v>
      </c>
      <c r="S93" s="10"/>
      <c r="T93" s="921"/>
      <c r="U93" s="645"/>
      <c r="V93" s="645"/>
      <c r="W93" s="646"/>
      <c r="X93" s="12"/>
      <c r="Y93" s="165"/>
      <c r="Z93" s="9"/>
      <c r="AA93" s="914"/>
      <c r="AB93" s="915"/>
      <c r="AC93" s="915"/>
      <c r="AD93" s="916"/>
      <c r="AE93" s="12"/>
      <c r="AF93" s="91"/>
      <c r="AG93" s="117">
        <f t="shared" si="16"/>
        <v>0</v>
      </c>
      <c r="AH93" s="98">
        <f t="shared" si="17"/>
        <v>0</v>
      </c>
      <c r="AI93" s="734"/>
    </row>
    <row r="94" spans="2:38" ht="19.95" customHeight="1">
      <c r="B94" s="9"/>
      <c r="C94" s="772"/>
      <c r="D94" s="773"/>
      <c r="E94" s="773"/>
      <c r="F94" s="774"/>
      <c r="G94" s="12"/>
      <c r="H94" s="165"/>
      <c r="I94" s="82"/>
      <c r="J94" s="841"/>
      <c r="K94" s="820"/>
      <c r="L94" s="821"/>
      <c r="M94" s="822"/>
      <c r="N94" s="10"/>
      <c r="O94" s="629" t="s">
        <v>306</v>
      </c>
      <c r="P94" s="630"/>
      <c r="Q94" s="631"/>
      <c r="R94" s="128" t="b">
        <v>0</v>
      </c>
      <c r="S94" s="10"/>
      <c r="T94" s="921"/>
      <c r="U94" s="645"/>
      <c r="V94" s="645"/>
      <c r="W94" s="646"/>
      <c r="X94" s="12"/>
      <c r="Y94" s="165"/>
      <c r="Z94" s="9"/>
      <c r="AA94" s="914"/>
      <c r="AB94" s="915"/>
      <c r="AC94" s="915"/>
      <c r="AD94" s="916"/>
      <c r="AE94" s="12"/>
      <c r="AF94" s="91"/>
      <c r="AG94" s="117">
        <f t="shared" si="16"/>
        <v>0</v>
      </c>
      <c r="AH94" s="98">
        <f t="shared" si="17"/>
        <v>0</v>
      </c>
      <c r="AI94" s="734"/>
    </row>
    <row r="95" spans="2:38" ht="19.95" customHeight="1">
      <c r="B95" s="9"/>
      <c r="C95" s="772"/>
      <c r="D95" s="773"/>
      <c r="E95" s="773"/>
      <c r="F95" s="774"/>
      <c r="G95" s="12"/>
      <c r="H95" s="165"/>
      <c r="I95" s="82"/>
      <c r="J95" s="841"/>
      <c r="K95" s="820"/>
      <c r="L95" s="821"/>
      <c r="M95" s="822"/>
      <c r="N95" s="10"/>
      <c r="O95" s="629" t="s">
        <v>307</v>
      </c>
      <c r="P95" s="630"/>
      <c r="Q95" s="631"/>
      <c r="R95" s="128" t="b">
        <v>0</v>
      </c>
      <c r="S95" s="10"/>
      <c r="T95" s="921"/>
      <c r="U95" s="645"/>
      <c r="V95" s="645"/>
      <c r="W95" s="646"/>
      <c r="X95" s="12"/>
      <c r="Y95" s="165"/>
      <c r="Z95" s="9"/>
      <c r="AA95" s="914"/>
      <c r="AB95" s="915"/>
      <c r="AC95" s="915"/>
      <c r="AD95" s="916"/>
      <c r="AE95" s="12"/>
      <c r="AF95" s="91"/>
      <c r="AG95" s="117">
        <f t="shared" si="16"/>
        <v>0</v>
      </c>
      <c r="AH95" s="98">
        <f t="shared" si="17"/>
        <v>0</v>
      </c>
      <c r="AI95" s="734"/>
    </row>
    <row r="96" spans="2:38" ht="19.95" customHeight="1">
      <c r="B96" s="9"/>
      <c r="C96" s="772"/>
      <c r="D96" s="773"/>
      <c r="E96" s="773"/>
      <c r="F96" s="774"/>
      <c r="G96" s="12"/>
      <c r="H96" s="165"/>
      <c r="I96" s="82"/>
      <c r="J96" s="841"/>
      <c r="K96" s="820"/>
      <c r="L96" s="821"/>
      <c r="M96" s="822"/>
      <c r="N96" s="10"/>
      <c r="O96" s="629" t="s">
        <v>435</v>
      </c>
      <c r="P96" s="630"/>
      <c r="Q96" s="631"/>
      <c r="R96" s="128" t="b">
        <v>0</v>
      </c>
      <c r="S96" s="10"/>
      <c r="T96" s="921"/>
      <c r="U96" s="645"/>
      <c r="V96" s="645"/>
      <c r="W96" s="646"/>
      <c r="X96" s="12"/>
      <c r="Y96" s="165"/>
      <c r="Z96" s="9"/>
      <c r="AA96" s="914"/>
      <c r="AB96" s="915"/>
      <c r="AC96" s="915"/>
      <c r="AD96" s="916"/>
      <c r="AE96" s="12"/>
      <c r="AF96" s="91"/>
      <c r="AG96" s="117">
        <f t="shared" si="16"/>
        <v>0</v>
      </c>
      <c r="AH96" s="98">
        <f t="shared" si="17"/>
        <v>0</v>
      </c>
      <c r="AI96" s="734"/>
    </row>
    <row r="97" spans="2:35" ht="31.5" customHeight="1">
      <c r="B97" s="9"/>
      <c r="C97" s="772"/>
      <c r="D97" s="773"/>
      <c r="E97" s="773"/>
      <c r="F97" s="774"/>
      <c r="G97" s="12"/>
      <c r="H97" s="165"/>
      <c r="I97" s="82"/>
      <c r="J97" s="841"/>
      <c r="K97" s="820"/>
      <c r="L97" s="821"/>
      <c r="M97" s="822"/>
      <c r="N97" s="10"/>
      <c r="O97" s="579" t="s">
        <v>485</v>
      </c>
      <c r="P97" s="580"/>
      <c r="Q97" s="581"/>
      <c r="R97" s="128" t="b">
        <v>0</v>
      </c>
      <c r="S97" s="10"/>
      <c r="T97" s="921"/>
      <c r="U97" s="645"/>
      <c r="V97" s="645"/>
      <c r="W97" s="646"/>
      <c r="X97" s="12"/>
      <c r="Y97" s="165"/>
      <c r="Z97" s="9"/>
      <c r="AA97" s="914"/>
      <c r="AB97" s="915"/>
      <c r="AC97" s="915"/>
      <c r="AD97" s="916"/>
      <c r="AE97" s="12"/>
      <c r="AF97" s="91"/>
      <c r="AG97" s="117">
        <f t="shared" si="16"/>
        <v>0</v>
      </c>
      <c r="AI97" s="734"/>
    </row>
    <row r="98" spans="2:35" ht="19.95" customHeight="1">
      <c r="B98" s="9"/>
      <c r="C98" s="772"/>
      <c r="D98" s="773"/>
      <c r="E98" s="773"/>
      <c r="F98" s="774"/>
      <c r="G98" s="12"/>
      <c r="H98" s="165"/>
      <c r="I98" s="82"/>
      <c r="J98" s="842"/>
      <c r="K98" s="823"/>
      <c r="L98" s="824"/>
      <c r="M98" s="825"/>
      <c r="N98"/>
      <c r="O98" s="629" t="s">
        <v>308</v>
      </c>
      <c r="P98" s="630"/>
      <c r="Q98" s="631"/>
      <c r="R98" s="128" t="b">
        <v>0</v>
      </c>
      <c r="S98"/>
      <c r="T98" s="922"/>
      <c r="U98" s="648"/>
      <c r="V98" s="648"/>
      <c r="W98" s="649"/>
      <c r="X98" s="83"/>
      <c r="Y98" s="169"/>
      <c r="Z98" s="82"/>
      <c r="AA98" s="917"/>
      <c r="AB98" s="918"/>
      <c r="AC98" s="918"/>
      <c r="AD98" s="919"/>
      <c r="AE98" s="83"/>
      <c r="AG98" s="117">
        <f t="shared" si="16"/>
        <v>0</v>
      </c>
      <c r="AI98" s="734"/>
    </row>
    <row r="99" spans="2:35">
      <c r="B99" s="9"/>
      <c r="C99" s="772"/>
      <c r="D99" s="773"/>
      <c r="E99" s="773"/>
      <c r="F99" s="774"/>
      <c r="G99" s="12"/>
      <c r="H99" s="165"/>
      <c r="I99" s="82"/>
      <c r="J99" s="254"/>
      <c r="K99" s="247"/>
      <c r="L99" s="247"/>
      <c r="M99" s="247"/>
      <c r="N99" s="10"/>
      <c r="O99" s="51"/>
      <c r="P99" s="51"/>
      <c r="Q99" s="51"/>
      <c r="R99" s="18"/>
      <c r="S99" s="10"/>
      <c r="T99" s="24"/>
      <c r="U99" s="24"/>
      <c r="V99" s="24"/>
      <c r="W99" s="24"/>
      <c r="X99" s="12"/>
      <c r="Y99" s="165"/>
      <c r="Z99" s="9"/>
      <c r="AA99" s="233"/>
      <c r="AB99" s="244"/>
      <c r="AC99" s="244"/>
      <c r="AD99" s="244"/>
      <c r="AE99" s="12"/>
      <c r="AF99" s="91"/>
      <c r="AG99" s="117"/>
      <c r="AI99" s="734"/>
    </row>
    <row r="100" spans="2:35" ht="30.45" customHeight="1">
      <c r="B100" s="9"/>
      <c r="C100" s="772"/>
      <c r="D100" s="773"/>
      <c r="E100" s="773"/>
      <c r="F100" s="774"/>
      <c r="G100" s="12"/>
      <c r="H100" s="165"/>
      <c r="I100" s="82"/>
      <c r="J100" s="840">
        <v>3.2</v>
      </c>
      <c r="K100" s="817" t="s">
        <v>293</v>
      </c>
      <c r="L100" s="818"/>
      <c r="M100" s="819"/>
      <c r="N100" s="10"/>
      <c r="O100" s="629" t="s">
        <v>294</v>
      </c>
      <c r="P100" s="630"/>
      <c r="Q100" s="631"/>
      <c r="R100" s="128" t="b">
        <v>0</v>
      </c>
      <c r="S100" s="10"/>
      <c r="T100" s="920" t="s">
        <v>60</v>
      </c>
      <c r="U100" s="624"/>
      <c r="V100" s="624"/>
      <c r="W100" s="625"/>
      <c r="X100" s="12"/>
      <c r="Y100" s="165"/>
      <c r="Z100" s="9"/>
      <c r="AA100" s="911" t="str">
        <f>IF(AG108, Feedback_List!B76, " " )</f>
        <v xml:space="preserve"> </v>
      </c>
      <c r="AB100" s="912"/>
      <c r="AC100" s="912"/>
      <c r="AD100" s="913"/>
      <c r="AE100" s="12"/>
      <c r="AF100" s="91"/>
      <c r="AG100" s="117">
        <f t="shared" ref="AG100:AG108" si="18">IF(R100, 1, 0)</f>
        <v>0</v>
      </c>
      <c r="AH100" s="98">
        <f t="shared" ref="AH100:AH107" si="19">IF(AG100,1,0)</f>
        <v>0</v>
      </c>
      <c r="AI100" s="734"/>
    </row>
    <row r="101" spans="2:35" ht="30.45" customHeight="1">
      <c r="B101" s="9"/>
      <c r="C101" s="772"/>
      <c r="D101" s="773"/>
      <c r="E101" s="773"/>
      <c r="F101" s="774"/>
      <c r="G101" s="12"/>
      <c r="H101" s="165"/>
      <c r="I101" s="82"/>
      <c r="J101" s="841"/>
      <c r="K101" s="820"/>
      <c r="L101" s="821"/>
      <c r="M101" s="822"/>
      <c r="N101" s="10"/>
      <c r="O101" s="629" t="s">
        <v>962</v>
      </c>
      <c r="P101" s="630"/>
      <c r="Q101" s="631"/>
      <c r="R101" s="128" t="b">
        <v>0</v>
      </c>
      <c r="S101" s="10"/>
      <c r="T101" s="921"/>
      <c r="U101" s="645"/>
      <c r="V101" s="645"/>
      <c r="W101" s="646"/>
      <c r="X101" s="12"/>
      <c r="Y101" s="165"/>
      <c r="Z101" s="9"/>
      <c r="AA101" s="914"/>
      <c r="AB101" s="915"/>
      <c r="AC101" s="915"/>
      <c r="AD101" s="916"/>
      <c r="AE101" s="12"/>
      <c r="AF101" s="91"/>
      <c r="AG101" s="117">
        <f t="shared" si="18"/>
        <v>0</v>
      </c>
      <c r="AH101" s="98">
        <f t="shared" si="19"/>
        <v>0</v>
      </c>
      <c r="AI101" s="734"/>
    </row>
    <row r="102" spans="2:35" ht="30.45" customHeight="1">
      <c r="B102" s="9"/>
      <c r="C102" s="772"/>
      <c r="D102" s="773"/>
      <c r="E102" s="773"/>
      <c r="F102" s="774"/>
      <c r="G102" s="12"/>
      <c r="H102" s="165"/>
      <c r="I102" s="82"/>
      <c r="J102" s="841"/>
      <c r="K102" s="820"/>
      <c r="L102" s="821"/>
      <c r="M102" s="822"/>
      <c r="N102" s="10"/>
      <c r="O102" s="629" t="s">
        <v>295</v>
      </c>
      <c r="P102" s="630"/>
      <c r="Q102" s="631"/>
      <c r="R102" s="128" t="b">
        <v>0</v>
      </c>
      <c r="S102" s="10"/>
      <c r="T102" s="921"/>
      <c r="U102" s="645"/>
      <c r="V102" s="645"/>
      <c r="W102" s="646"/>
      <c r="X102" s="12"/>
      <c r="Y102" s="165"/>
      <c r="Z102" s="9"/>
      <c r="AA102" s="914"/>
      <c r="AB102" s="915"/>
      <c r="AC102" s="915"/>
      <c r="AD102" s="916"/>
      <c r="AE102" s="12"/>
      <c r="AF102" s="91"/>
      <c r="AG102" s="117">
        <f t="shared" si="18"/>
        <v>0</v>
      </c>
      <c r="AH102" s="98">
        <f t="shared" si="19"/>
        <v>0</v>
      </c>
      <c r="AI102" s="734"/>
    </row>
    <row r="103" spans="2:35" ht="30.45" customHeight="1">
      <c r="B103" s="9"/>
      <c r="C103" s="772"/>
      <c r="D103" s="773"/>
      <c r="E103" s="773"/>
      <c r="F103" s="774"/>
      <c r="G103" s="12"/>
      <c r="H103" s="165"/>
      <c r="I103" s="82"/>
      <c r="J103" s="841"/>
      <c r="K103" s="820"/>
      <c r="L103" s="821"/>
      <c r="M103" s="822"/>
      <c r="N103" s="10"/>
      <c r="O103" s="629" t="s">
        <v>296</v>
      </c>
      <c r="P103" s="630"/>
      <c r="Q103" s="631"/>
      <c r="R103" s="128" t="b">
        <v>0</v>
      </c>
      <c r="S103" s="10"/>
      <c r="T103" s="921"/>
      <c r="U103" s="645"/>
      <c r="V103" s="645"/>
      <c r="W103" s="646"/>
      <c r="X103" s="12"/>
      <c r="Y103" s="165"/>
      <c r="Z103" s="9"/>
      <c r="AA103" s="914"/>
      <c r="AB103" s="915"/>
      <c r="AC103" s="915"/>
      <c r="AD103" s="916"/>
      <c r="AE103" s="12"/>
      <c r="AF103" s="91"/>
      <c r="AG103" s="117">
        <f t="shared" si="18"/>
        <v>0</v>
      </c>
      <c r="AH103" s="98">
        <f t="shared" si="19"/>
        <v>0</v>
      </c>
      <c r="AI103" s="734"/>
    </row>
    <row r="104" spans="2:35" ht="30.45" customHeight="1">
      <c r="B104" s="9"/>
      <c r="C104" s="772"/>
      <c r="D104" s="773"/>
      <c r="E104" s="773"/>
      <c r="F104" s="774"/>
      <c r="G104" s="12"/>
      <c r="H104" s="165"/>
      <c r="I104" s="82"/>
      <c r="J104" s="841"/>
      <c r="K104" s="820"/>
      <c r="L104" s="821"/>
      <c r="M104" s="822"/>
      <c r="N104" s="10"/>
      <c r="O104" s="629" t="s">
        <v>297</v>
      </c>
      <c r="P104" s="630"/>
      <c r="Q104" s="631"/>
      <c r="R104" s="128" t="b">
        <v>0</v>
      </c>
      <c r="S104" s="10"/>
      <c r="T104" s="921"/>
      <c r="U104" s="645"/>
      <c r="V104" s="645"/>
      <c r="W104" s="646"/>
      <c r="X104" s="12"/>
      <c r="Y104" s="165"/>
      <c r="Z104" s="9"/>
      <c r="AA104" s="914"/>
      <c r="AB104" s="915"/>
      <c r="AC104" s="915"/>
      <c r="AD104" s="916"/>
      <c r="AE104" s="12"/>
      <c r="AF104" s="91"/>
      <c r="AG104" s="117">
        <f t="shared" si="18"/>
        <v>0</v>
      </c>
      <c r="AH104" s="98">
        <f t="shared" si="19"/>
        <v>0</v>
      </c>
      <c r="AI104" s="734"/>
    </row>
    <row r="105" spans="2:35" ht="30.45" customHeight="1">
      <c r="B105" s="9"/>
      <c r="C105" s="772"/>
      <c r="D105" s="773"/>
      <c r="E105" s="773"/>
      <c r="F105" s="774"/>
      <c r="G105" s="12"/>
      <c r="H105" s="165"/>
      <c r="I105" s="82"/>
      <c r="J105" s="841"/>
      <c r="K105" s="820"/>
      <c r="L105" s="821"/>
      <c r="M105" s="822"/>
      <c r="N105" s="10"/>
      <c r="O105" s="629" t="s">
        <v>298</v>
      </c>
      <c r="P105" s="630"/>
      <c r="Q105" s="631"/>
      <c r="R105" s="128" t="b">
        <v>0</v>
      </c>
      <c r="S105" s="10"/>
      <c r="T105" s="921"/>
      <c r="U105" s="645"/>
      <c r="V105" s="645"/>
      <c r="W105" s="646"/>
      <c r="X105" s="12"/>
      <c r="Y105" s="165"/>
      <c r="Z105" s="9"/>
      <c r="AA105" s="914"/>
      <c r="AB105" s="915"/>
      <c r="AC105" s="915"/>
      <c r="AD105" s="916"/>
      <c r="AE105" s="12"/>
      <c r="AF105" s="91"/>
      <c r="AG105" s="117">
        <f t="shared" si="18"/>
        <v>0</v>
      </c>
      <c r="AH105" s="98">
        <f t="shared" si="19"/>
        <v>0</v>
      </c>
      <c r="AI105" s="734"/>
    </row>
    <row r="106" spans="2:35" ht="30.45" customHeight="1">
      <c r="B106" s="9"/>
      <c r="C106" s="772"/>
      <c r="D106" s="773"/>
      <c r="E106" s="773"/>
      <c r="F106" s="774"/>
      <c r="G106" s="12"/>
      <c r="H106" s="165"/>
      <c r="I106" s="82"/>
      <c r="J106" s="841"/>
      <c r="K106" s="820"/>
      <c r="L106" s="821"/>
      <c r="M106" s="822"/>
      <c r="N106" s="10"/>
      <c r="O106" s="629" t="s">
        <v>299</v>
      </c>
      <c r="P106" s="630"/>
      <c r="Q106" s="631"/>
      <c r="R106" s="128" t="b">
        <v>0</v>
      </c>
      <c r="S106" s="10"/>
      <c r="T106" s="921"/>
      <c r="U106" s="645"/>
      <c r="V106" s="645"/>
      <c r="W106" s="646"/>
      <c r="X106" s="12"/>
      <c r="Y106" s="165"/>
      <c r="Z106" s="9"/>
      <c r="AA106" s="914"/>
      <c r="AB106" s="915"/>
      <c r="AC106" s="915"/>
      <c r="AD106" s="916"/>
      <c r="AE106" s="12"/>
      <c r="AF106" s="91"/>
      <c r="AG106" s="117">
        <f t="shared" si="18"/>
        <v>0</v>
      </c>
      <c r="AH106" s="98">
        <f t="shared" si="19"/>
        <v>0</v>
      </c>
      <c r="AI106" s="734"/>
    </row>
    <row r="107" spans="2:35" ht="30.45" customHeight="1">
      <c r="B107" s="9"/>
      <c r="C107" s="772"/>
      <c r="D107" s="773"/>
      <c r="E107" s="773"/>
      <c r="F107" s="774"/>
      <c r="G107" s="12"/>
      <c r="H107" s="165"/>
      <c r="I107" s="82"/>
      <c r="J107" s="841"/>
      <c r="K107" s="820"/>
      <c r="L107" s="821"/>
      <c r="M107" s="822"/>
      <c r="N107" s="10"/>
      <c r="O107" s="629" t="s">
        <v>300</v>
      </c>
      <c r="P107" s="630"/>
      <c r="Q107" s="631"/>
      <c r="R107" s="128" t="b">
        <v>0</v>
      </c>
      <c r="S107" s="10"/>
      <c r="T107" s="921"/>
      <c r="U107" s="645"/>
      <c r="V107" s="645"/>
      <c r="W107" s="646"/>
      <c r="X107" s="12"/>
      <c r="Y107" s="165"/>
      <c r="Z107" s="9"/>
      <c r="AA107" s="914"/>
      <c r="AB107" s="915"/>
      <c r="AC107" s="915"/>
      <c r="AD107" s="916"/>
      <c r="AE107" s="12"/>
      <c r="AF107" s="91"/>
      <c r="AG107" s="117">
        <f t="shared" si="18"/>
        <v>0</v>
      </c>
      <c r="AH107" s="116">
        <f t="shared" si="19"/>
        <v>0</v>
      </c>
      <c r="AI107" s="734"/>
    </row>
    <row r="108" spans="2:35" ht="30.45" customHeight="1">
      <c r="B108" s="9"/>
      <c r="C108" s="775"/>
      <c r="D108" s="776"/>
      <c r="E108" s="776"/>
      <c r="F108" s="777"/>
      <c r="G108" s="12"/>
      <c r="H108" s="165"/>
      <c r="I108" s="82"/>
      <c r="J108" s="842"/>
      <c r="K108" s="823"/>
      <c r="L108" s="824"/>
      <c r="M108" s="825"/>
      <c r="N108" s="10"/>
      <c r="O108" s="629" t="s">
        <v>486</v>
      </c>
      <c r="P108" s="630"/>
      <c r="Q108" s="631"/>
      <c r="R108" s="128" t="b">
        <v>0</v>
      </c>
      <c r="S108" s="10"/>
      <c r="T108" s="922"/>
      <c r="U108" s="648"/>
      <c r="V108" s="648"/>
      <c r="W108" s="649"/>
      <c r="X108" s="12"/>
      <c r="Y108" s="165"/>
      <c r="Z108" s="9"/>
      <c r="AA108" s="917"/>
      <c r="AB108" s="918"/>
      <c r="AC108" s="918"/>
      <c r="AD108" s="919"/>
      <c r="AE108" s="12"/>
      <c r="AF108" s="91"/>
      <c r="AG108" s="117">
        <f t="shared" si="18"/>
        <v>0</v>
      </c>
      <c r="AI108" s="735"/>
    </row>
    <row r="109" spans="2:35" ht="18" thickBot="1">
      <c r="B109" s="82"/>
      <c r="C109" s="10"/>
      <c r="D109" s="10"/>
      <c r="E109" s="10"/>
      <c r="F109" s="10"/>
      <c r="G109" s="83"/>
      <c r="H109" s="169"/>
      <c r="I109" s="82"/>
      <c r="J109" s="65"/>
      <c r="K109" s="216"/>
      <c r="L109" s="216"/>
      <c r="M109" s="216"/>
      <c r="N109"/>
      <c r="O109" s="10"/>
      <c r="P109" s="18"/>
      <c r="Q109" s="18"/>
      <c r="R109" s="18"/>
      <c r="S109"/>
      <c r="T109" s="10"/>
      <c r="U109" s="10"/>
      <c r="V109" s="10"/>
      <c r="W109" s="10"/>
      <c r="X109" s="83"/>
      <c r="Y109" s="169"/>
      <c r="Z109" s="82"/>
      <c r="AA109" s="8"/>
      <c r="AB109" s="304"/>
      <c r="AC109" s="304"/>
      <c r="AD109" s="304"/>
      <c r="AE109" s="83"/>
      <c r="AG109" s="123">
        <f>SUM(AG89:AG108)</f>
        <v>0</v>
      </c>
      <c r="AH109" s="123">
        <f>SUM(AH89:AH108)</f>
        <v>0</v>
      </c>
      <c r="AI109" s="123"/>
    </row>
    <row r="110" spans="2:35" ht="18" thickTop="1">
      <c r="B110" s="82"/>
      <c r="C110" s="10"/>
      <c r="D110" s="10"/>
      <c r="E110" s="10"/>
      <c r="F110" s="10"/>
      <c r="G110" s="83"/>
      <c r="H110" s="169"/>
      <c r="I110" s="82"/>
      <c r="J110" s="28" t="s">
        <v>30</v>
      </c>
      <c r="K110" s="209" t="s">
        <v>629</v>
      </c>
      <c r="L110" s="216"/>
      <c r="M110" s="216"/>
      <c r="N110"/>
      <c r="O110" s="10"/>
      <c r="P110" s="18"/>
      <c r="Q110" s="18"/>
      <c r="R110" s="18"/>
      <c r="S110"/>
      <c r="T110" s="10"/>
      <c r="U110" s="10"/>
      <c r="V110" s="10"/>
      <c r="W110" s="10"/>
      <c r="X110" s="83"/>
      <c r="Y110" s="169"/>
      <c r="Z110" s="82"/>
      <c r="AA110" s="911" t="str">
        <f>IF(Milestone_5!AG113,Feedback_List!C78," ")</f>
        <v xml:space="preserve"> </v>
      </c>
      <c r="AB110" s="912"/>
      <c r="AC110" s="912"/>
      <c r="AD110" s="913"/>
      <c r="AE110" s="83"/>
    </row>
    <row r="111" spans="2:35">
      <c r="B111" s="82"/>
      <c r="C111" s="10"/>
      <c r="D111" s="10"/>
      <c r="E111" s="10"/>
      <c r="F111" s="10"/>
      <c r="G111" s="83"/>
      <c r="H111" s="169"/>
      <c r="I111" s="82"/>
      <c r="J111" s="65"/>
      <c r="K111" s="216"/>
      <c r="L111" s="216"/>
      <c r="M111" s="216"/>
      <c r="N111"/>
      <c r="O111" s="10"/>
      <c r="P111" s="18"/>
      <c r="Q111" s="18"/>
      <c r="R111" s="18"/>
      <c r="S111"/>
      <c r="T111" s="10"/>
      <c r="U111" s="10"/>
      <c r="V111" s="10"/>
      <c r="W111" s="10"/>
      <c r="X111" s="83"/>
      <c r="Y111" s="169"/>
      <c r="Z111" s="82"/>
      <c r="AA111" s="914"/>
      <c r="AB111" s="915"/>
      <c r="AC111" s="915"/>
      <c r="AD111" s="916"/>
      <c r="AE111" s="83"/>
    </row>
    <row r="112" spans="2:35" ht="40.5" customHeight="1">
      <c r="B112" s="2"/>
      <c r="C112" s="769" t="s">
        <v>1165</v>
      </c>
      <c r="D112" s="770"/>
      <c r="E112" s="770"/>
      <c r="F112" s="771"/>
      <c r="G112" s="3"/>
      <c r="H112" s="168"/>
      <c r="I112" s="82"/>
      <c r="J112" s="793">
        <v>4.0999999999999996</v>
      </c>
      <c r="K112" s="890" t="s">
        <v>1025</v>
      </c>
      <c r="L112" s="890"/>
      <c r="M112" s="890"/>
      <c r="N112" s="255"/>
      <c r="O112" s="685" t="s">
        <v>23</v>
      </c>
      <c r="P112" s="686"/>
      <c r="Q112" s="687"/>
      <c r="R112" s="128" t="b">
        <v>0</v>
      </c>
      <c r="S112" s="256"/>
      <c r="T112" s="619" t="s">
        <v>60</v>
      </c>
      <c r="U112" s="619"/>
      <c r="V112" s="619"/>
      <c r="W112" s="619"/>
      <c r="X112" s="4"/>
      <c r="Y112" s="168"/>
      <c r="Z112" s="2"/>
      <c r="AA112" s="914"/>
      <c r="AB112" s="915"/>
      <c r="AC112" s="915"/>
      <c r="AD112" s="916"/>
      <c r="AE112" s="3"/>
      <c r="AF112" s="137"/>
      <c r="AG112" s="126">
        <f t="shared" ref="AG112:AG113" si="20">IF(R112, 1, 0)</f>
        <v>0</v>
      </c>
      <c r="AH112" s="115">
        <f>IF(AG112,5,IF(AG113,0,0))</f>
        <v>0</v>
      </c>
      <c r="AI112" s="733">
        <f>SUM(AH112:AH118) * AN10</f>
        <v>0</v>
      </c>
    </row>
    <row r="113" spans="2:35" ht="40.5" customHeight="1">
      <c r="B113" s="2"/>
      <c r="C113" s="772"/>
      <c r="D113" s="773"/>
      <c r="E113" s="773"/>
      <c r="F113" s="774"/>
      <c r="G113" s="3"/>
      <c r="H113" s="168"/>
      <c r="I113" s="82"/>
      <c r="J113" s="793"/>
      <c r="K113" s="890"/>
      <c r="L113" s="890"/>
      <c r="M113" s="890"/>
      <c r="N113" s="255"/>
      <c r="O113" s="685" t="s">
        <v>55</v>
      </c>
      <c r="P113" s="686"/>
      <c r="Q113" s="687"/>
      <c r="R113" s="128" t="b">
        <v>0</v>
      </c>
      <c r="S113" s="256"/>
      <c r="T113" s="619"/>
      <c r="U113" s="619"/>
      <c r="V113" s="619"/>
      <c r="W113" s="619"/>
      <c r="X113" s="4"/>
      <c r="Y113" s="168"/>
      <c r="Z113" s="2"/>
      <c r="AA113" s="917"/>
      <c r="AB113" s="918"/>
      <c r="AC113" s="918"/>
      <c r="AD113" s="919"/>
      <c r="AE113" s="3"/>
      <c r="AF113" s="137"/>
      <c r="AG113" s="117">
        <f t="shared" si="20"/>
        <v>0</v>
      </c>
      <c r="AH113" s="116"/>
      <c r="AI113" s="734"/>
    </row>
    <row r="114" spans="2:35">
      <c r="B114" s="5"/>
      <c r="C114" s="772"/>
      <c r="D114" s="773"/>
      <c r="E114" s="773"/>
      <c r="F114" s="774"/>
      <c r="G114" s="4"/>
      <c r="H114" s="168"/>
      <c r="I114" s="82"/>
      <c r="J114" s="66"/>
      <c r="K114" s="210"/>
      <c r="L114" s="210"/>
      <c r="M114" s="210"/>
      <c r="N114" s="257"/>
      <c r="O114" s="963"/>
      <c r="P114" s="963"/>
      <c r="Q114" s="963"/>
      <c r="R114" s="18"/>
      <c r="S114" s="258"/>
      <c r="T114" s="32"/>
      <c r="U114" s="32"/>
      <c r="V114" s="32"/>
      <c r="W114" s="32"/>
      <c r="X114" s="6"/>
      <c r="Y114" s="168"/>
      <c r="Z114" s="5"/>
      <c r="AA114" s="229"/>
      <c r="AB114" s="273"/>
      <c r="AC114" s="273"/>
      <c r="AD114" s="273"/>
      <c r="AE114" s="4"/>
      <c r="AF114" s="138"/>
      <c r="AG114" s="117"/>
      <c r="AH114" s="116"/>
      <c r="AI114" s="734"/>
    </row>
    <row r="115" spans="2:35" ht="37.950000000000003" customHeight="1">
      <c r="B115" s="2"/>
      <c r="C115" s="772"/>
      <c r="D115" s="773"/>
      <c r="E115" s="773"/>
      <c r="F115" s="774"/>
      <c r="G115" s="3"/>
      <c r="H115" s="168"/>
      <c r="I115" s="82"/>
      <c r="J115" s="793">
        <v>4.2</v>
      </c>
      <c r="K115" s="890" t="s">
        <v>503</v>
      </c>
      <c r="L115" s="890"/>
      <c r="M115" s="890"/>
      <c r="N115" s="255"/>
      <c r="O115" s="960" t="s">
        <v>310</v>
      </c>
      <c r="P115" s="961"/>
      <c r="Q115" s="962"/>
      <c r="R115" s="128" t="b">
        <v>0</v>
      </c>
      <c r="S115" s="256"/>
      <c r="T115" s="619" t="s">
        <v>60</v>
      </c>
      <c r="U115" s="619"/>
      <c r="V115" s="619"/>
      <c r="W115" s="619"/>
      <c r="X115" s="4"/>
      <c r="Y115" s="168"/>
      <c r="Z115" s="2"/>
      <c r="AA115" s="911" t="str">
        <f>IF(AG118,Feedback_List!B79, " ")</f>
        <v xml:space="preserve"> </v>
      </c>
      <c r="AB115" s="912"/>
      <c r="AC115" s="912"/>
      <c r="AD115" s="913"/>
      <c r="AE115" s="3"/>
      <c r="AF115" s="137"/>
      <c r="AG115" s="117">
        <f t="shared" ref="AG115:AG116" si="21">IF(R115, 1, 0)</f>
        <v>0</v>
      </c>
      <c r="AH115" s="116">
        <f>IF(AG115,5,IF(AG116,3,IF(AG117,2,IF(AG118,0,0))))</f>
        <v>0</v>
      </c>
      <c r="AI115" s="734"/>
    </row>
    <row r="116" spans="2:35" ht="37.950000000000003" customHeight="1">
      <c r="B116" s="2"/>
      <c r="C116" s="772"/>
      <c r="D116" s="773"/>
      <c r="E116" s="773"/>
      <c r="F116" s="774"/>
      <c r="G116" s="3"/>
      <c r="H116" s="168"/>
      <c r="I116" s="82"/>
      <c r="J116" s="793"/>
      <c r="K116" s="890"/>
      <c r="L116" s="890"/>
      <c r="M116" s="890"/>
      <c r="N116" s="255"/>
      <c r="O116" s="960" t="s">
        <v>311</v>
      </c>
      <c r="P116" s="961"/>
      <c r="Q116" s="962"/>
      <c r="R116" s="128" t="b">
        <v>0</v>
      </c>
      <c r="S116" s="256"/>
      <c r="T116" s="619"/>
      <c r="U116" s="619"/>
      <c r="V116" s="619"/>
      <c r="W116" s="619"/>
      <c r="X116" s="4"/>
      <c r="Y116" s="168"/>
      <c r="Z116" s="2"/>
      <c r="AA116" s="914"/>
      <c r="AB116" s="915"/>
      <c r="AC116" s="915"/>
      <c r="AD116" s="916"/>
      <c r="AE116" s="3"/>
      <c r="AF116" s="137"/>
      <c r="AG116" s="117">
        <f t="shared" si="21"/>
        <v>0</v>
      </c>
      <c r="AH116" s="116"/>
      <c r="AI116" s="734"/>
    </row>
    <row r="117" spans="2:35" ht="37.950000000000003" customHeight="1">
      <c r="B117" s="5"/>
      <c r="C117" s="772"/>
      <c r="D117" s="773"/>
      <c r="E117" s="773"/>
      <c r="F117" s="774"/>
      <c r="G117" s="4"/>
      <c r="H117" s="168"/>
      <c r="I117" s="82"/>
      <c r="J117" s="793"/>
      <c r="K117" s="890"/>
      <c r="L117" s="890"/>
      <c r="M117" s="890"/>
      <c r="N117" s="255"/>
      <c r="O117" s="960" t="s">
        <v>312</v>
      </c>
      <c r="P117" s="961"/>
      <c r="Q117" s="962"/>
      <c r="R117" s="128" t="b">
        <v>0</v>
      </c>
      <c r="S117" s="256"/>
      <c r="T117" s="619"/>
      <c r="U117" s="619"/>
      <c r="V117" s="619"/>
      <c r="W117" s="619"/>
      <c r="X117" s="4"/>
      <c r="Y117" s="168"/>
      <c r="Z117" s="5"/>
      <c r="AA117" s="914"/>
      <c r="AB117" s="915"/>
      <c r="AC117" s="915"/>
      <c r="AD117" s="916"/>
      <c r="AE117" s="4"/>
      <c r="AF117" s="138"/>
      <c r="AG117" s="117">
        <f>IF(R117, 1, 0)</f>
        <v>0</v>
      </c>
      <c r="AH117" s="116"/>
      <c r="AI117" s="734"/>
    </row>
    <row r="118" spans="2:35" ht="15.6">
      <c r="B118" s="5"/>
      <c r="C118" s="775"/>
      <c r="D118" s="776"/>
      <c r="E118" s="776"/>
      <c r="F118" s="777"/>
      <c r="G118" s="4"/>
      <c r="H118" s="168"/>
      <c r="I118" s="82"/>
      <c r="J118" s="793"/>
      <c r="K118" s="890"/>
      <c r="L118" s="890"/>
      <c r="M118" s="890"/>
      <c r="N118" s="255"/>
      <c r="O118" s="685" t="s">
        <v>356</v>
      </c>
      <c r="P118" s="686"/>
      <c r="Q118" s="687"/>
      <c r="R118" s="128" t="b">
        <v>0</v>
      </c>
      <c r="S118" s="256"/>
      <c r="T118" s="619"/>
      <c r="U118" s="619"/>
      <c r="V118" s="619"/>
      <c r="W118" s="619"/>
      <c r="X118" s="4"/>
      <c r="Y118" s="168"/>
      <c r="Z118" s="5"/>
      <c r="AA118" s="917"/>
      <c r="AB118" s="918"/>
      <c r="AC118" s="918"/>
      <c r="AD118" s="919"/>
      <c r="AE118" s="4"/>
      <c r="AF118" s="138"/>
      <c r="AG118" s="106">
        <f t="shared" ref="AG118" si="22">IF(R118, 1, 0)</f>
        <v>0</v>
      </c>
      <c r="AH118" s="107"/>
      <c r="AI118" s="735"/>
    </row>
    <row r="119" spans="2:35" ht="33.450000000000003" customHeight="1" thickBot="1">
      <c r="B119" s="82"/>
      <c r="C119"/>
      <c r="D119"/>
      <c r="E119"/>
      <c r="F119"/>
      <c r="G119" s="83"/>
      <c r="H119" s="169"/>
      <c r="I119" s="82"/>
      <c r="J119" s="65"/>
      <c r="K119" s="216"/>
      <c r="L119" s="216"/>
      <c r="M119" s="216"/>
      <c r="N119"/>
      <c r="O119" s="10"/>
      <c r="P119" s="18"/>
      <c r="Q119" s="18"/>
      <c r="R119" s="18"/>
      <c r="S119"/>
      <c r="T119" s="10"/>
      <c r="U119" s="10"/>
      <c r="V119" s="10"/>
      <c r="W119" s="10"/>
      <c r="X119" s="83"/>
      <c r="Y119" s="169"/>
      <c r="Z119" s="82"/>
      <c r="AA119" s="8"/>
      <c r="AB119" s="304"/>
      <c r="AC119" s="304"/>
      <c r="AD119" s="304"/>
      <c r="AE119" s="83"/>
      <c r="AG119" s="123">
        <f>SUM(AG112:AG118)</f>
        <v>0</v>
      </c>
      <c r="AH119" s="123">
        <f>SUM(AH112:AH118)</f>
        <v>0</v>
      </c>
      <c r="AI119" s="123"/>
    </row>
    <row r="120" spans="2:35" ht="21.6" thickTop="1">
      <c r="B120" s="82"/>
      <c r="C120"/>
      <c r="D120"/>
      <c r="E120"/>
      <c r="F120"/>
      <c r="G120" s="83"/>
      <c r="H120" s="169"/>
      <c r="I120" s="82"/>
      <c r="J120" s="855" t="s">
        <v>727</v>
      </c>
      <c r="K120" s="856"/>
      <c r="L120" s="856"/>
      <c r="M120" s="856"/>
      <c r="N120" s="856"/>
      <c r="O120" s="856"/>
      <c r="P120" s="856"/>
      <c r="Q120" s="856"/>
      <c r="R120" s="857"/>
      <c r="S120" s="79"/>
      <c r="T120" s="957" t="str">
        <f>ROUND(AI112+AI89+AI26+AI7,0) &amp; "/"&amp;AM11</f>
        <v>0/15</v>
      </c>
      <c r="U120" s="958"/>
      <c r="V120" s="958"/>
      <c r="W120" s="959"/>
      <c r="X120" s="83"/>
      <c r="Y120" s="169"/>
      <c r="Z120" s="82"/>
      <c r="AA120" s="8"/>
      <c r="AB120" s="304"/>
      <c r="AC120" s="304"/>
      <c r="AD120" s="304"/>
      <c r="AE120" s="83"/>
    </row>
    <row r="121" spans="2:35" ht="18" thickBot="1">
      <c r="B121" s="84"/>
      <c r="C121" s="85"/>
      <c r="D121" s="85"/>
      <c r="E121" s="85"/>
      <c r="F121" s="85"/>
      <c r="G121" s="86"/>
      <c r="H121" s="169"/>
      <c r="I121" s="84"/>
      <c r="J121" s="67"/>
      <c r="K121" s="217"/>
      <c r="L121" s="217"/>
      <c r="M121" s="217"/>
      <c r="N121" s="85"/>
      <c r="O121" s="15"/>
      <c r="P121" s="63"/>
      <c r="Q121" s="63"/>
      <c r="R121" s="63"/>
      <c r="S121" s="85"/>
      <c r="T121" s="15"/>
      <c r="U121" s="15"/>
      <c r="V121" s="15"/>
      <c r="W121" s="15"/>
      <c r="X121" s="86"/>
      <c r="Y121" s="169"/>
      <c r="Z121" s="84"/>
      <c r="AA121" s="77"/>
      <c r="AB121" s="305"/>
      <c r="AC121" s="305"/>
      <c r="AD121" s="305"/>
      <c r="AE121" s="86"/>
    </row>
  </sheetData>
  <mergeCells count="161">
    <mergeCell ref="J51:J57"/>
    <mergeCell ref="K51:M57"/>
    <mergeCell ref="AA51:AD57"/>
    <mergeCell ref="AI89:AI108"/>
    <mergeCell ref="Q22:R22"/>
    <mergeCell ref="O60:Q60"/>
    <mergeCell ref="O61:Q61"/>
    <mergeCell ref="O62:Q62"/>
    <mergeCell ref="O64:Q64"/>
    <mergeCell ref="J59:J64"/>
    <mergeCell ref="K59:M64"/>
    <mergeCell ref="O59:Q59"/>
    <mergeCell ref="T72:W78"/>
    <mergeCell ref="K12:M22"/>
    <mergeCell ref="J12:J22"/>
    <mergeCell ref="T12:W22"/>
    <mergeCell ref="T34:W40"/>
    <mergeCell ref="T51:W57"/>
    <mergeCell ref="T66:W70"/>
    <mergeCell ref="J66:J70"/>
    <mergeCell ref="K66:M70"/>
    <mergeCell ref="J42:J49"/>
    <mergeCell ref="K42:M49"/>
    <mergeCell ref="AA12:AD22"/>
    <mergeCell ref="O104:Q104"/>
    <mergeCell ref="O105:Q105"/>
    <mergeCell ref="O106:Q106"/>
    <mergeCell ref="O107:Q107"/>
    <mergeCell ref="K80:M85"/>
    <mergeCell ref="O83:Q83"/>
    <mergeCell ref="O82:Q82"/>
    <mergeCell ref="O81:Q81"/>
    <mergeCell ref="O80:Q80"/>
    <mergeCell ref="O84:Q84"/>
    <mergeCell ref="O95:Q95"/>
    <mergeCell ref="K100:M108"/>
    <mergeCell ref="O108:Q108"/>
    <mergeCell ref="J89:J98"/>
    <mergeCell ref="K89:M98"/>
    <mergeCell ref="O94:Q94"/>
    <mergeCell ref="O96:Q96"/>
    <mergeCell ref="J72:J78"/>
    <mergeCell ref="K72:M78"/>
    <mergeCell ref="O72:Q72"/>
    <mergeCell ref="J80:J85"/>
    <mergeCell ref="O102:Q102"/>
    <mergeCell ref="O78:Q78"/>
    <mergeCell ref="AN5:AN6"/>
    <mergeCell ref="AP13:AP22"/>
    <mergeCell ref="O56:Q56"/>
    <mergeCell ref="O63:Q63"/>
    <mergeCell ref="K26:M32"/>
    <mergeCell ref="J26:J32"/>
    <mergeCell ref="O28:Q28"/>
    <mergeCell ref="O29:Q29"/>
    <mergeCell ref="O30:Q30"/>
    <mergeCell ref="O31:Q31"/>
    <mergeCell ref="O32:Q32"/>
    <mergeCell ref="K34:M40"/>
    <mergeCell ref="J34:J40"/>
    <mergeCell ref="T26:W32"/>
    <mergeCell ref="O34:Q34"/>
    <mergeCell ref="O36:Q36"/>
    <mergeCell ref="O37:Q37"/>
    <mergeCell ref="O38:Q38"/>
    <mergeCell ref="O39:Q39"/>
    <mergeCell ref="O40:Q40"/>
    <mergeCell ref="O26:Q26"/>
    <mergeCell ref="O45:Q45"/>
    <mergeCell ref="O48:Q48"/>
    <mergeCell ref="O55:Q55"/>
    <mergeCell ref="I2:X3"/>
    <mergeCell ref="Z2:AE3"/>
    <mergeCell ref="J7:J10"/>
    <mergeCell ref="K7:M10"/>
    <mergeCell ref="T7:W10"/>
    <mergeCell ref="AA7:AD10"/>
    <mergeCell ref="O7:Q7"/>
    <mergeCell ref="O8:Q8"/>
    <mergeCell ref="O9:Q9"/>
    <mergeCell ref="T100:W108"/>
    <mergeCell ref="O100:Q100"/>
    <mergeCell ref="T89:W98"/>
    <mergeCell ref="O98:Q98"/>
    <mergeCell ref="O97:Q97"/>
    <mergeCell ref="O76:Q76"/>
    <mergeCell ref="AI26:AI85"/>
    <mergeCell ref="O75:Q75"/>
    <mergeCell ref="O66:Q66"/>
    <mergeCell ref="O67:Q67"/>
    <mergeCell ref="O68:Q68"/>
    <mergeCell ref="O70:Q70"/>
    <mergeCell ref="O27:Q27"/>
    <mergeCell ref="AA24:AD32"/>
    <mergeCell ref="O42:Q42"/>
    <mergeCell ref="AA34:AD40"/>
    <mergeCell ref="T42:W49"/>
    <mergeCell ref="AA42:AD49"/>
    <mergeCell ref="O43:Q43"/>
    <mergeCell ref="O44:Q44"/>
    <mergeCell ref="AA80:AD85"/>
    <mergeCell ref="O35:Q35"/>
    <mergeCell ref="O54:Q54"/>
    <mergeCell ref="O103:Q103"/>
    <mergeCell ref="C7:F22"/>
    <mergeCell ref="B2:G3"/>
    <mergeCell ref="AA115:AD118"/>
    <mergeCell ref="O116:Q116"/>
    <mergeCell ref="O117:Q117"/>
    <mergeCell ref="O118:Q118"/>
    <mergeCell ref="AA89:AD98"/>
    <mergeCell ref="O89:Q89"/>
    <mergeCell ref="O90:Q90"/>
    <mergeCell ref="O91:Q91"/>
    <mergeCell ref="O92:Q92"/>
    <mergeCell ref="O93:Q93"/>
    <mergeCell ref="T59:W64"/>
    <mergeCell ref="AA59:AD64"/>
    <mergeCell ref="O101:Q101"/>
    <mergeCell ref="AA72:AD78"/>
    <mergeCell ref="O73:Q73"/>
    <mergeCell ref="O74:Q74"/>
    <mergeCell ref="T80:W85"/>
    <mergeCell ref="O46:Q46"/>
    <mergeCell ref="O47:Q47"/>
    <mergeCell ref="J100:J108"/>
    <mergeCell ref="O10:Q10"/>
    <mergeCell ref="AA100:AD108"/>
    <mergeCell ref="AI7:AI22"/>
    <mergeCell ref="T120:W120"/>
    <mergeCell ref="J120:R120"/>
    <mergeCell ref="J115:J118"/>
    <mergeCell ref="K115:M118"/>
    <mergeCell ref="O115:Q115"/>
    <mergeCell ref="T115:W118"/>
    <mergeCell ref="J112:J113"/>
    <mergeCell ref="K112:M113"/>
    <mergeCell ref="O112:Q112"/>
    <mergeCell ref="T112:W113"/>
    <mergeCell ref="O113:Q113"/>
    <mergeCell ref="O85:Q85"/>
    <mergeCell ref="O114:Q114"/>
    <mergeCell ref="AI112:AI118"/>
    <mergeCell ref="AA110:AD113"/>
    <mergeCell ref="O49:Q49"/>
    <mergeCell ref="AA66:AD70"/>
    <mergeCell ref="O69:Q69"/>
    <mergeCell ref="O51:Q51"/>
    <mergeCell ref="O52:Q52"/>
    <mergeCell ref="O53:Q53"/>
    <mergeCell ref="O57:Q57"/>
    <mergeCell ref="O77:Q77"/>
    <mergeCell ref="C42:F49"/>
    <mergeCell ref="C59:F64"/>
    <mergeCell ref="C66:F70"/>
    <mergeCell ref="C72:F78"/>
    <mergeCell ref="C80:F85"/>
    <mergeCell ref="C89:F108"/>
    <mergeCell ref="C112:F118"/>
    <mergeCell ref="C26:F40"/>
    <mergeCell ref="C51:F57"/>
  </mergeCells>
  <conditionalFormatting sqref="O7 O9:O10">
    <cfRule type="expression" dxfId="206" priority="15">
      <formula>$R$8</formula>
    </cfRule>
  </conditionalFormatting>
  <conditionalFormatting sqref="O7:O8 O10 R10">
    <cfRule type="expression" dxfId="205" priority="14">
      <formula>$R$9</formula>
    </cfRule>
  </conditionalFormatting>
  <conditionalFormatting sqref="O7:O9">
    <cfRule type="expression" dxfId="204" priority="13">
      <formula>$R$10</formula>
    </cfRule>
  </conditionalFormatting>
  <conditionalFormatting sqref="O8:O10">
    <cfRule type="expression" dxfId="203" priority="16">
      <formula>$R$7</formula>
    </cfRule>
  </conditionalFormatting>
  <conditionalFormatting sqref="O42">
    <cfRule type="expression" dxfId="202" priority="227">
      <formula>$R$42</formula>
    </cfRule>
  </conditionalFormatting>
  <conditionalFormatting sqref="O42:O45 R42:R45">
    <cfRule type="expression" dxfId="201" priority="119">
      <formula>$R$48</formula>
    </cfRule>
  </conditionalFormatting>
  <conditionalFormatting sqref="O43">
    <cfRule type="expression" dxfId="200" priority="226">
      <formula>$R$43</formula>
    </cfRule>
  </conditionalFormatting>
  <conditionalFormatting sqref="O44">
    <cfRule type="expression" dxfId="199" priority="225">
      <formula>$R$44</formula>
    </cfRule>
  </conditionalFormatting>
  <conditionalFormatting sqref="O45">
    <cfRule type="expression" dxfId="198" priority="224">
      <formula>$R$45</formula>
    </cfRule>
  </conditionalFormatting>
  <conditionalFormatting sqref="O51">
    <cfRule type="expression" dxfId="197" priority="220">
      <formula>$R$51</formula>
    </cfRule>
  </conditionalFormatting>
  <conditionalFormatting sqref="O52">
    <cfRule type="expression" dxfId="196" priority="219">
      <formula>$R$52</formula>
    </cfRule>
  </conditionalFormatting>
  <conditionalFormatting sqref="O53">
    <cfRule type="expression" dxfId="195" priority="218">
      <formula>$R$53</formula>
    </cfRule>
  </conditionalFormatting>
  <conditionalFormatting sqref="O54">
    <cfRule type="expression" dxfId="194" priority="217">
      <formula>$R$54</formula>
    </cfRule>
  </conditionalFormatting>
  <conditionalFormatting sqref="O26:Q26">
    <cfRule type="expression" dxfId="193" priority="240">
      <formula>$R$26</formula>
    </cfRule>
  </conditionalFormatting>
  <conditionalFormatting sqref="O27:Q27">
    <cfRule type="expression" dxfId="192" priority="239">
      <formula>$R$27</formula>
    </cfRule>
  </conditionalFormatting>
  <conditionalFormatting sqref="O28:Q28">
    <cfRule type="expression" dxfId="191" priority="238">
      <formula>$R$28</formula>
    </cfRule>
  </conditionalFormatting>
  <conditionalFormatting sqref="O29:Q29">
    <cfRule type="expression" dxfId="190" priority="237">
      <formula>$R$29</formula>
    </cfRule>
  </conditionalFormatting>
  <conditionalFormatting sqref="O30:Q30">
    <cfRule type="expression" dxfId="189" priority="236">
      <formula>$R$30</formula>
    </cfRule>
  </conditionalFormatting>
  <conditionalFormatting sqref="O31:Q31">
    <cfRule type="expression" dxfId="188" priority="235">
      <formula>$R$31</formula>
    </cfRule>
  </conditionalFormatting>
  <conditionalFormatting sqref="O32:Q32">
    <cfRule type="expression" dxfId="187" priority="126">
      <formula>$R$32</formula>
    </cfRule>
  </conditionalFormatting>
  <conditionalFormatting sqref="O34:Q34">
    <cfRule type="expression" dxfId="186" priority="233">
      <formula>$R$34</formula>
    </cfRule>
  </conditionalFormatting>
  <conditionalFormatting sqref="O35:Q35">
    <cfRule type="expression" dxfId="185" priority="39">
      <formula>$R$35</formula>
    </cfRule>
  </conditionalFormatting>
  <conditionalFormatting sqref="O36:Q36">
    <cfRule type="expression" dxfId="184" priority="232">
      <formula>$R$36</formula>
    </cfRule>
  </conditionalFormatting>
  <conditionalFormatting sqref="O37:Q37">
    <cfRule type="expression" dxfId="183" priority="231">
      <formula>$R$37</formula>
    </cfRule>
  </conditionalFormatting>
  <conditionalFormatting sqref="O38:Q38">
    <cfRule type="expression" dxfId="182" priority="230">
      <formula>$R$38</formula>
    </cfRule>
  </conditionalFormatting>
  <conditionalFormatting sqref="O40:Q40">
    <cfRule type="expression" dxfId="181" priority="228">
      <formula>$R$40</formula>
    </cfRule>
  </conditionalFormatting>
  <conditionalFormatting sqref="O46:Q46">
    <cfRule type="expression" dxfId="180" priority="19">
      <formula>$R$46</formula>
    </cfRule>
  </conditionalFormatting>
  <conditionalFormatting sqref="O47:Q47">
    <cfRule type="expression" dxfId="179" priority="18">
      <formula>$R$47</formula>
    </cfRule>
  </conditionalFormatting>
  <conditionalFormatting sqref="O49:Q49">
    <cfRule type="expression" dxfId="178" priority="222">
      <formula>$R$49</formula>
    </cfRule>
  </conditionalFormatting>
  <conditionalFormatting sqref="O55:Q55">
    <cfRule type="expression" dxfId="177" priority="12">
      <formula>$R$55</formula>
    </cfRule>
    <cfRule type="expression" dxfId="176" priority="5">
      <formula>$R$55</formula>
    </cfRule>
  </conditionalFormatting>
  <conditionalFormatting sqref="O57:Q57">
    <cfRule type="expression" dxfId="175" priority="216">
      <formula>$R$57</formula>
    </cfRule>
  </conditionalFormatting>
  <conditionalFormatting sqref="O59:Q59">
    <cfRule type="expression" dxfId="174" priority="215">
      <formula>$R$59</formula>
    </cfRule>
  </conditionalFormatting>
  <conditionalFormatting sqref="O60:Q60">
    <cfRule type="expression" dxfId="173" priority="214">
      <formula>$R$60</formula>
    </cfRule>
  </conditionalFormatting>
  <conditionalFormatting sqref="O61:Q61">
    <cfRule type="expression" dxfId="172" priority="213">
      <formula>$R$61</formula>
    </cfRule>
  </conditionalFormatting>
  <conditionalFormatting sqref="O62:Q62">
    <cfRule type="expression" dxfId="171" priority="212">
      <formula>$R$62</formula>
    </cfRule>
  </conditionalFormatting>
  <conditionalFormatting sqref="O64:Q64">
    <cfRule type="expression" dxfId="170" priority="211">
      <formula>$R$64</formula>
    </cfRule>
  </conditionalFormatting>
  <conditionalFormatting sqref="O66:Q66">
    <cfRule type="expression" dxfId="169" priority="202">
      <formula>$R$66</formula>
    </cfRule>
  </conditionalFormatting>
  <conditionalFormatting sqref="O67:Q67">
    <cfRule type="expression" dxfId="168" priority="201">
      <formula>$R$67</formula>
    </cfRule>
  </conditionalFormatting>
  <conditionalFormatting sqref="O68:Q68">
    <cfRule type="expression" dxfId="167" priority="199">
      <formula>$R$68</formula>
    </cfRule>
  </conditionalFormatting>
  <conditionalFormatting sqref="O70:Q70">
    <cfRule type="expression" dxfId="166" priority="198">
      <formula>$R$70</formula>
    </cfRule>
  </conditionalFormatting>
  <conditionalFormatting sqref="O72:Q72">
    <cfRule type="expression" dxfId="165" priority="197">
      <formula>$R$72</formula>
    </cfRule>
  </conditionalFormatting>
  <conditionalFormatting sqref="O73:Q73">
    <cfRule type="expression" dxfId="164" priority="196">
      <formula>$R$73</formula>
    </cfRule>
  </conditionalFormatting>
  <conditionalFormatting sqref="O74:Q74">
    <cfRule type="expression" dxfId="163" priority="195">
      <formula>$R$74</formula>
    </cfRule>
  </conditionalFormatting>
  <conditionalFormatting sqref="O75:Q75">
    <cfRule type="expression" dxfId="162" priority="194">
      <formula>$R$75</formula>
    </cfRule>
  </conditionalFormatting>
  <conditionalFormatting sqref="O76:Q76">
    <cfRule type="expression" dxfId="161" priority="10">
      <formula>$R$76</formula>
    </cfRule>
  </conditionalFormatting>
  <conditionalFormatting sqref="O78:Q78">
    <cfRule type="expression" dxfId="160" priority="193">
      <formula>$R$78</formula>
    </cfRule>
  </conditionalFormatting>
  <conditionalFormatting sqref="O80:Q80">
    <cfRule type="expression" dxfId="159" priority="192">
      <formula>$R$80</formula>
    </cfRule>
  </conditionalFormatting>
  <conditionalFormatting sqref="O81:Q81">
    <cfRule type="expression" dxfId="158" priority="191">
      <formula>$R$81</formula>
    </cfRule>
  </conditionalFormatting>
  <conditionalFormatting sqref="O82:Q82">
    <cfRule type="expression" dxfId="157" priority="190">
      <formula>$R$82</formula>
    </cfRule>
  </conditionalFormatting>
  <conditionalFormatting sqref="O83:Q83">
    <cfRule type="expression" dxfId="156" priority="189">
      <formula>$R$83</formula>
    </cfRule>
  </conditionalFormatting>
  <conditionalFormatting sqref="O85:Q85">
    <cfRule type="expression" dxfId="155" priority="188">
      <formula>$R$85</formula>
    </cfRule>
  </conditionalFormatting>
  <conditionalFormatting sqref="O89:Q89">
    <cfRule type="expression" dxfId="154" priority="178">
      <formula>$R$89</formula>
    </cfRule>
  </conditionalFormatting>
  <conditionalFormatting sqref="O90:Q90">
    <cfRule type="expression" dxfId="153" priority="177">
      <formula>$R$90</formula>
    </cfRule>
  </conditionalFormatting>
  <conditionalFormatting sqref="O91:Q91">
    <cfRule type="expression" dxfId="152" priority="176">
      <formula>$R$91</formula>
    </cfRule>
  </conditionalFormatting>
  <conditionalFormatting sqref="O92:Q92">
    <cfRule type="expression" dxfId="151" priority="175">
      <formula>$R$92</formula>
    </cfRule>
  </conditionalFormatting>
  <conditionalFormatting sqref="O93:Q93">
    <cfRule type="expression" dxfId="150" priority="174">
      <formula>$R$93</formula>
    </cfRule>
  </conditionalFormatting>
  <conditionalFormatting sqref="O94:Q94">
    <cfRule type="expression" dxfId="149" priority="173">
      <formula>$R$94</formula>
    </cfRule>
  </conditionalFormatting>
  <conditionalFormatting sqref="O95:Q95">
    <cfRule type="expression" dxfId="148" priority="172">
      <formula>$R$95</formula>
    </cfRule>
  </conditionalFormatting>
  <conditionalFormatting sqref="O96:Q96">
    <cfRule type="expression" dxfId="147" priority="131">
      <formula>$R$96</formula>
    </cfRule>
  </conditionalFormatting>
  <conditionalFormatting sqref="O98:Q98">
    <cfRule type="expression" dxfId="146" priority="171">
      <formula>$R$98</formula>
    </cfRule>
  </conditionalFormatting>
  <conditionalFormatting sqref="O99:Q99 O107:Q107">
    <cfRule type="expression" dxfId="145" priority="492">
      <formula>$R$107</formula>
    </cfRule>
  </conditionalFormatting>
  <conditionalFormatting sqref="O100:Q100">
    <cfRule type="expression" dxfId="144" priority="187">
      <formula>$R$100</formula>
    </cfRule>
  </conditionalFormatting>
  <conditionalFormatting sqref="O101:Q101">
    <cfRule type="expression" dxfId="143" priority="38">
      <formula>$R$101</formula>
    </cfRule>
  </conditionalFormatting>
  <conditionalFormatting sqref="O102:Q102">
    <cfRule type="expression" dxfId="142" priority="186">
      <formula>$R$102</formula>
    </cfRule>
  </conditionalFormatting>
  <conditionalFormatting sqref="O103:Q103">
    <cfRule type="expression" dxfId="141" priority="185">
      <formula>$R$103</formula>
    </cfRule>
  </conditionalFormatting>
  <conditionalFormatting sqref="O104:Q104">
    <cfRule type="expression" dxfId="140" priority="184">
      <formula>$R$104</formula>
    </cfRule>
  </conditionalFormatting>
  <conditionalFormatting sqref="O105:Q105">
    <cfRule type="expression" dxfId="139" priority="183">
      <formula>$R$105</formula>
    </cfRule>
  </conditionalFormatting>
  <conditionalFormatting sqref="O106:Q106">
    <cfRule type="expression" dxfId="138" priority="182">
      <formula>$R$106</formula>
    </cfRule>
  </conditionalFormatting>
  <conditionalFormatting sqref="O26:R32">
    <cfRule type="expression" dxfId="137" priority="548">
      <formula>#REF!</formula>
    </cfRule>
  </conditionalFormatting>
  <conditionalFormatting sqref="O34:R34 R35 O36:R38">
    <cfRule type="expression" dxfId="136" priority="121">
      <formula>$R$39</formula>
    </cfRule>
  </conditionalFormatting>
  <conditionalFormatting sqref="O39:R39">
    <cfRule type="expression" dxfId="135" priority="58">
      <formula>$AG$26=0</formula>
    </cfRule>
    <cfRule type="expression" dxfId="134" priority="47">
      <formula>OR($R$34:$R$38)</formula>
    </cfRule>
  </conditionalFormatting>
  <conditionalFormatting sqref="O48:R48">
    <cfRule type="expression" dxfId="133" priority="46">
      <formula>OR($R$42:$R$45)</formula>
    </cfRule>
    <cfRule type="expression" dxfId="132" priority="17">
      <formula>OR($R$42:$R$47)</formula>
    </cfRule>
    <cfRule type="expression" dxfId="131" priority="57">
      <formula>$AG$27=0</formula>
    </cfRule>
  </conditionalFormatting>
  <conditionalFormatting sqref="O51:R55">
    <cfRule type="expression" dxfId="130" priority="715">
      <formula>$R$56</formula>
    </cfRule>
  </conditionalFormatting>
  <conditionalFormatting sqref="O56:R56">
    <cfRule type="expression" dxfId="129" priority="45">
      <formula>OR($R$51:$R$54)</formula>
    </cfRule>
    <cfRule type="expression" dxfId="128" priority="11">
      <formula>$R$55</formula>
    </cfRule>
    <cfRule type="expression" dxfId="127" priority="56">
      <formula>$AG$28=0</formula>
    </cfRule>
  </conditionalFormatting>
  <conditionalFormatting sqref="O59:R62">
    <cfRule type="expression" dxfId="126" priority="115">
      <formula>$R$63</formula>
    </cfRule>
  </conditionalFormatting>
  <conditionalFormatting sqref="O63:R63">
    <cfRule type="expression" dxfId="125" priority="44">
      <formula>OR($R$59:$R$62)</formula>
    </cfRule>
    <cfRule type="expression" dxfId="124" priority="55">
      <formula>$AG$30=0</formula>
    </cfRule>
  </conditionalFormatting>
  <conditionalFormatting sqref="O66:R68">
    <cfRule type="expression" dxfId="123" priority="722">
      <formula>$R$69</formula>
    </cfRule>
  </conditionalFormatting>
  <conditionalFormatting sqref="O69:R69">
    <cfRule type="expression" dxfId="122" priority="43">
      <formula>OR($R$66:$R$68)</formula>
    </cfRule>
    <cfRule type="expression" dxfId="121" priority="54">
      <formula>$AG$30=0</formula>
    </cfRule>
  </conditionalFormatting>
  <conditionalFormatting sqref="O72:R76">
    <cfRule type="expression" dxfId="120" priority="110">
      <formula>$R$77</formula>
    </cfRule>
  </conditionalFormatting>
  <conditionalFormatting sqref="O77:R77">
    <cfRule type="expression" dxfId="119" priority="42">
      <formula>OR($R$72:$R$75)</formula>
    </cfRule>
    <cfRule type="expression" dxfId="118" priority="9">
      <formula>$R$76</formula>
    </cfRule>
    <cfRule type="expression" dxfId="117" priority="53">
      <formula>$AG$31=0</formula>
    </cfRule>
  </conditionalFormatting>
  <conditionalFormatting sqref="O80:R83">
    <cfRule type="expression" dxfId="116" priority="109">
      <formula>$R$84</formula>
    </cfRule>
  </conditionalFormatting>
  <conditionalFormatting sqref="O84:R84">
    <cfRule type="expression" dxfId="115" priority="41">
      <formula>OR($R$80:$R$83)</formula>
    </cfRule>
    <cfRule type="expression" dxfId="114" priority="52">
      <formula>$AG$32=0</formula>
    </cfRule>
  </conditionalFormatting>
  <conditionalFormatting sqref="O89:R96">
    <cfRule type="expression" dxfId="113" priority="107">
      <formula>$R$97</formula>
    </cfRule>
  </conditionalFormatting>
  <conditionalFormatting sqref="O100:R100 R101 O102:R107">
    <cfRule type="expression" dxfId="112" priority="103">
      <formula>$R$108</formula>
    </cfRule>
  </conditionalFormatting>
  <conditionalFormatting sqref="O112:R112">
    <cfRule type="expression" dxfId="111" priority="164">
      <formula>$R$113</formula>
    </cfRule>
  </conditionalFormatting>
  <conditionalFormatting sqref="O112:R113">
    <cfRule type="expression" dxfId="110" priority="754">
      <formula>#REF!</formula>
    </cfRule>
  </conditionalFormatting>
  <conditionalFormatting sqref="O113:R113">
    <cfRule type="expression" dxfId="109" priority="165">
      <formula>$R$112</formula>
    </cfRule>
  </conditionalFormatting>
  <conditionalFormatting sqref="O115:R115 O117:R118">
    <cfRule type="expression" dxfId="108" priority="160">
      <formula>$R$116</formula>
    </cfRule>
  </conditionalFormatting>
  <conditionalFormatting sqref="O115:R116 O118:R118">
    <cfRule type="expression" dxfId="107" priority="159">
      <formula>$R$117</formula>
    </cfRule>
  </conditionalFormatting>
  <conditionalFormatting sqref="O115:R117">
    <cfRule type="expression" dxfId="106" priority="158">
      <formula>$R$118</formula>
    </cfRule>
  </conditionalFormatting>
  <conditionalFormatting sqref="O116:R118">
    <cfRule type="expression" dxfId="105" priority="161">
      <formula>$R$115</formula>
    </cfRule>
  </conditionalFormatting>
  <conditionalFormatting sqref="P22">
    <cfRule type="cellIs" dxfId="104" priority="662" operator="greaterThan">
      <formula>1</formula>
    </cfRule>
  </conditionalFormatting>
  <conditionalFormatting sqref="Q22:R22">
    <cfRule type="expression" dxfId="102" priority="50">
      <formula>$P$22&gt;$AG$3</formula>
    </cfRule>
  </conditionalFormatting>
  <conditionalFormatting sqref="R7 R9:R10">
    <cfRule type="expression" dxfId="101" priority="139">
      <formula>$R$8</formula>
    </cfRule>
  </conditionalFormatting>
  <conditionalFormatting sqref="R7:R8">
    <cfRule type="expression" dxfId="100" priority="138">
      <formula>$R$9</formula>
    </cfRule>
  </conditionalFormatting>
  <conditionalFormatting sqref="R7:R9">
    <cfRule type="expression" dxfId="99" priority="137">
      <formula>$R$10</formula>
    </cfRule>
  </conditionalFormatting>
  <conditionalFormatting sqref="R8:R10">
    <cfRule type="expression" dxfId="98" priority="140">
      <formula>$R$7</formula>
    </cfRule>
  </conditionalFormatting>
  <conditionalFormatting sqref="T51">
    <cfRule type="expression" dxfId="97" priority="720">
      <formula>$R$57</formula>
    </cfRule>
  </conditionalFormatting>
  <conditionalFormatting sqref="T12:W22">
    <cfRule type="expression" dxfId="96" priority="712">
      <formula>ISNUMBER($P$21)</formula>
    </cfRule>
  </conditionalFormatting>
  <conditionalFormatting sqref="T34:W40">
    <cfRule type="expression" dxfId="95" priority="210">
      <formula>$R$40</formula>
    </cfRule>
  </conditionalFormatting>
  <conditionalFormatting sqref="T42:W49">
    <cfRule type="expression" dxfId="94" priority="209">
      <formula>$R$49</formula>
    </cfRule>
  </conditionalFormatting>
  <conditionalFormatting sqref="T59:W64">
    <cfRule type="expression" dxfId="93" priority="207">
      <formula>$R$64</formula>
    </cfRule>
  </conditionalFormatting>
  <conditionalFormatting sqref="T66:W70">
    <cfRule type="expression" dxfId="92" priority="731">
      <formula>$R$70</formula>
    </cfRule>
    <cfRule type="expression" dxfId="91" priority="730">
      <formula>$R$70</formula>
    </cfRule>
  </conditionalFormatting>
  <conditionalFormatting sqref="T72:W78">
    <cfRule type="expression" dxfId="90" priority="205">
      <formula>$R$78</formula>
    </cfRule>
  </conditionalFormatting>
  <conditionalFormatting sqref="T80:W85">
    <cfRule type="expression" dxfId="89" priority="156">
      <formula>$R$85</formula>
    </cfRule>
  </conditionalFormatting>
  <conditionalFormatting sqref="T89:W98">
    <cfRule type="expression" dxfId="88" priority="203">
      <formula>$R$98</formula>
    </cfRule>
  </conditionalFormatting>
  <conditionalFormatting sqref="AA7:AD10">
    <cfRule type="expression" dxfId="87" priority="61">
      <formula>$R$8</formula>
    </cfRule>
    <cfRule type="expression" dxfId="86" priority="60">
      <formula>$R$9</formula>
    </cfRule>
    <cfRule type="expression" dxfId="85" priority="127">
      <formula>$R$10</formula>
    </cfRule>
  </conditionalFormatting>
  <conditionalFormatting sqref="AA34:AD40">
    <cfRule type="expression" dxfId="84" priority="95">
      <formula>$AG$37</formula>
    </cfRule>
    <cfRule type="expression" dxfId="83" priority="40">
      <formula>$R$35</formula>
    </cfRule>
    <cfRule type="expression" dxfId="82" priority="37">
      <formula>SUM($AG$34:$AG$38)=5</formula>
    </cfRule>
    <cfRule type="expression" dxfId="81" priority="94">
      <formula>$AG$38</formula>
    </cfRule>
    <cfRule type="expression" dxfId="80" priority="120">
      <formula>$R$39</formula>
    </cfRule>
    <cfRule type="expression" dxfId="79" priority="97">
      <formula>$AG$34</formula>
    </cfRule>
    <cfRule type="expression" dxfId="78" priority="96">
      <formula>$AG$36</formula>
    </cfRule>
  </conditionalFormatting>
  <conditionalFormatting sqref="AA42:AD49">
    <cfRule type="expression" dxfId="77" priority="92">
      <formula>$AG$42</formula>
    </cfRule>
    <cfRule type="expression" dxfId="76" priority="6">
      <formula>AND($R$42:$R$47)</formula>
    </cfRule>
    <cfRule type="expression" dxfId="75" priority="91">
      <formula>$AG$43</formula>
    </cfRule>
    <cfRule type="expression" dxfId="74" priority="90">
      <formula>$AG$44</formula>
    </cfRule>
    <cfRule type="expression" dxfId="73" priority="89">
      <formula>$AG$45</formula>
    </cfRule>
    <cfRule type="expression" dxfId="72" priority="88">
      <formula>SUM($AG$42:$AG$45)=4</formula>
    </cfRule>
    <cfRule type="expression" dxfId="71" priority="118">
      <formula>$R$48</formula>
    </cfRule>
    <cfRule type="expression" dxfId="70" priority="7">
      <formula>$R$47</formula>
    </cfRule>
    <cfRule type="expression" dxfId="69" priority="8">
      <formula>$R$46</formula>
    </cfRule>
  </conditionalFormatting>
  <conditionalFormatting sqref="AA51:AD57">
    <cfRule type="expression" dxfId="68" priority="3">
      <formula>AND($AG$51:$AG$55)</formula>
    </cfRule>
    <cfRule type="expression" dxfId="67" priority="4">
      <formula>OR($AG$51:$AG$56)</formula>
    </cfRule>
  </conditionalFormatting>
  <conditionalFormatting sqref="AA59:AD64">
    <cfRule type="expression" dxfId="66" priority="83">
      <formula>$AG$59</formula>
    </cfRule>
    <cfRule type="expression" dxfId="65" priority="81">
      <formula>$AG$61</formula>
    </cfRule>
    <cfRule type="expression" dxfId="64" priority="114">
      <formula>$R$63</formula>
    </cfRule>
    <cfRule type="expression" dxfId="63" priority="82">
      <formula>$AG$60</formula>
    </cfRule>
    <cfRule type="expression" dxfId="62" priority="79">
      <formula>SUM($AG$59:$AG$62)=4</formula>
    </cfRule>
    <cfRule type="expression" dxfId="61" priority="80">
      <formula>$AG$62</formula>
    </cfRule>
  </conditionalFormatting>
  <conditionalFormatting sqref="AA66:AD70">
    <cfRule type="expression" dxfId="60" priority="734">
      <formula>SUM($AG$66:$AG$68)=4</formula>
    </cfRule>
    <cfRule type="expression" dxfId="59" priority="735">
      <formula>$AG$68</formula>
    </cfRule>
    <cfRule type="expression" dxfId="58" priority="736">
      <formula>#REF!</formula>
    </cfRule>
    <cfRule type="expression" dxfId="57" priority="737">
      <formula>$AG$67</formula>
    </cfRule>
    <cfRule type="expression" dxfId="56" priority="738">
      <formula>$AG$66</formula>
    </cfRule>
    <cfRule type="expression" dxfId="55" priority="739">
      <formula>$R$69</formula>
    </cfRule>
  </conditionalFormatting>
  <conditionalFormatting sqref="AA72:AD78">
    <cfRule type="expression" dxfId="54" priority="2">
      <formula>OR($AG$72:$AG$77)</formula>
    </cfRule>
    <cfRule type="expression" dxfId="53" priority="1">
      <formula>AND($AG$72:$AG$76)</formula>
    </cfRule>
  </conditionalFormatting>
  <conditionalFormatting sqref="AA80:AD85">
    <cfRule type="expression" dxfId="52" priority="63">
      <formula>SUM($AG$80:$AG$83)=4</formula>
    </cfRule>
    <cfRule type="expression" dxfId="51" priority="64">
      <formula>$AG$83</formula>
    </cfRule>
    <cfRule type="expression" dxfId="50" priority="65">
      <formula>$AG$82</formula>
    </cfRule>
    <cfRule type="expression" dxfId="49" priority="66">
      <formula>$AG$81</formula>
    </cfRule>
    <cfRule type="expression" dxfId="48" priority="67">
      <formula>$AG$80</formula>
    </cfRule>
    <cfRule type="expression" dxfId="47" priority="108">
      <formula>$AG$84</formula>
    </cfRule>
  </conditionalFormatting>
  <conditionalFormatting sqref="AA89:AD98">
    <cfRule type="expression" dxfId="46" priority="106">
      <formula>$AG$97</formula>
    </cfRule>
  </conditionalFormatting>
  <conditionalFormatting sqref="AA100:AD108">
    <cfRule type="expression" dxfId="45" priority="102">
      <formula>$AG$108</formula>
    </cfRule>
  </conditionalFormatting>
  <conditionalFormatting sqref="AA110:AD113">
    <cfRule type="expression" dxfId="44" priority="759">
      <formula>#REF!</formula>
    </cfRule>
    <cfRule type="expression" dxfId="43" priority="758">
      <formula>$AG$113</formula>
    </cfRule>
  </conditionalFormatting>
  <conditionalFormatting sqref="AA115:AD118">
    <cfRule type="expression" dxfId="42" priority="98">
      <formula>$AG$118</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661" id="{0DF6FFD8-0F59-4025-8C2A-7EBF916168DF}">
            <xm:f>$P$22&gt;Milestone_1!$AL$97</xm:f>
            <x14:dxf>
              <font>
                <b/>
                <i val="0"/>
                <color rgb="FFFF0000"/>
              </font>
              <fill>
                <patternFill patternType="none">
                  <bgColor auto="1"/>
                </patternFill>
              </fill>
            </x14:dxf>
          </x14:cfRule>
          <xm:sqref>P22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02B7EA3-BC10-43EE-A639-A7258C3DB96B}">
          <x14:formula1>
            <xm:f>_xlfn.ANCHORARRAY(DropdownORNamemanagerLists!$D$61)</xm:f>
          </x14:formula1>
          <xm:sqref>Q13:Q21</xm:sqref>
        </x14:dataValidation>
        <x14:dataValidation type="list" allowBlank="1" showInputMessage="1" showErrorMessage="1" xr:uid="{4F466FF7-690C-412F-99CC-12FC25E9288E}">
          <x14:formula1>
            <xm:f>_xlfn.ANCHORARRAY(DropdownORNamemanagerLists!$E$61)</xm:f>
          </x14:formula1>
          <xm:sqref>R13:R21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4DE0-F2CD-454F-9488-8FB63ABEA868}">
  <sheetPr codeName="Sheet15">
    <tabColor theme="6" tint="0.39997558519241921"/>
  </sheetPr>
  <dimension ref="B1:AN50"/>
  <sheetViews>
    <sheetView showGridLines="0" zoomScale="70" zoomScaleNormal="70" workbookViewId="0">
      <selection activeCell="X33" sqref="X33"/>
    </sheetView>
  </sheetViews>
  <sheetFormatPr defaultColWidth="8.77734375" defaultRowHeight="17.399999999999999"/>
  <cols>
    <col min="1" max="1" width="2.33203125" style="91" customWidth="1"/>
    <col min="2" max="2" width="3.21875" style="91" customWidth="1"/>
    <col min="3" max="6" width="7.77734375" style="91" customWidth="1"/>
    <col min="7" max="9" width="3.21875" style="91" customWidth="1"/>
    <col min="10" max="10" width="9.6640625" style="124" bestFit="1" customWidth="1"/>
    <col min="11" max="13" width="13.88671875" style="215" customWidth="1"/>
    <col min="14" max="14" width="3.21875" style="91" customWidth="1"/>
    <col min="15" max="15" width="49.77734375" style="204" customWidth="1"/>
    <col min="16" max="16" width="50.77734375" style="204" customWidth="1"/>
    <col min="17" max="17" width="5.77734375" style="125" bestFit="1" customWidth="1"/>
    <col min="18" max="18" width="3.33203125" style="91" customWidth="1"/>
    <col min="19" max="20" width="8.77734375" style="91"/>
    <col min="21" max="21" width="8.77734375" style="91" customWidth="1"/>
    <col min="22" max="22" width="8.77734375" style="91"/>
    <col min="23" max="25" width="3.21875" style="91" customWidth="1"/>
    <col min="26" max="29" width="19.77734375" style="91" customWidth="1"/>
    <col min="30" max="30" width="3.21875" style="91" customWidth="1"/>
    <col min="31" max="31" width="4.44140625" style="91" customWidth="1"/>
    <col min="32" max="32" width="17.6640625" style="134" bestFit="1" customWidth="1"/>
    <col min="33" max="33" width="28.44140625" style="134" bestFit="1" customWidth="1"/>
    <col min="34" max="34" width="21" style="134" bestFit="1" customWidth="1"/>
    <col min="35" max="35" width="9.21875" style="99" customWidth="1"/>
    <col min="36" max="36" width="11" style="98" bestFit="1" customWidth="1"/>
    <col min="37" max="37" width="16.44140625" style="98" bestFit="1" customWidth="1"/>
    <col min="38" max="38" width="13.6640625" style="94" bestFit="1" customWidth="1"/>
    <col min="39" max="39" width="12.88671875" style="94" customWidth="1"/>
    <col min="40" max="40" width="8.77734375" style="99"/>
    <col min="41" max="16384" width="8.77734375" style="91"/>
  </cols>
  <sheetData>
    <row r="1" spans="2:39" ht="15.45" customHeight="1" thickBot="1"/>
    <row r="2" spans="2:39" ht="15.6">
      <c r="B2" s="987" t="s">
        <v>61</v>
      </c>
      <c r="C2" s="988"/>
      <c r="D2" s="988"/>
      <c r="E2" s="988"/>
      <c r="F2" s="988"/>
      <c r="G2" s="989"/>
      <c r="H2" s="162"/>
      <c r="I2" s="987" t="s">
        <v>823</v>
      </c>
      <c r="J2" s="988"/>
      <c r="K2" s="988"/>
      <c r="L2" s="988"/>
      <c r="M2" s="988"/>
      <c r="N2" s="988"/>
      <c r="O2" s="988"/>
      <c r="P2" s="988"/>
      <c r="Q2" s="988"/>
      <c r="R2" s="988"/>
      <c r="S2" s="988"/>
      <c r="T2" s="988"/>
      <c r="U2" s="988"/>
      <c r="V2" s="988"/>
      <c r="W2" s="989"/>
      <c r="X2" s="162"/>
      <c r="Y2" s="987" t="s">
        <v>329</v>
      </c>
      <c r="Z2" s="988"/>
      <c r="AA2" s="988"/>
      <c r="AB2" s="988"/>
      <c r="AC2" s="988"/>
      <c r="AD2" s="989"/>
      <c r="AE2" s="95"/>
      <c r="AF2" s="98"/>
      <c r="AG2" s="98"/>
      <c r="AH2" s="98"/>
    </row>
    <row r="3" spans="2:39" ht="16.2" thickBot="1">
      <c r="B3" s="990"/>
      <c r="C3" s="991"/>
      <c r="D3" s="991"/>
      <c r="E3" s="991"/>
      <c r="F3" s="991"/>
      <c r="G3" s="992"/>
      <c r="H3" s="162"/>
      <c r="I3" s="990"/>
      <c r="J3" s="991"/>
      <c r="K3" s="991"/>
      <c r="L3" s="991"/>
      <c r="M3" s="991"/>
      <c r="N3" s="991"/>
      <c r="O3" s="991"/>
      <c r="P3" s="991"/>
      <c r="Q3" s="991"/>
      <c r="R3" s="991"/>
      <c r="S3" s="991"/>
      <c r="T3" s="991"/>
      <c r="U3" s="991"/>
      <c r="V3" s="991"/>
      <c r="W3" s="992"/>
      <c r="X3" s="162"/>
      <c r="Y3" s="990"/>
      <c r="Z3" s="991"/>
      <c r="AA3" s="991"/>
      <c r="AB3" s="991"/>
      <c r="AC3" s="991"/>
      <c r="AD3" s="992"/>
      <c r="AE3" s="95"/>
      <c r="AF3" s="98"/>
      <c r="AG3" s="98"/>
      <c r="AH3" s="98"/>
    </row>
    <row r="4" spans="2:39">
      <c r="B4" s="19"/>
      <c r="C4" s="17"/>
      <c r="D4" s="17"/>
      <c r="E4" s="17"/>
      <c r="F4" s="17"/>
      <c r="G4" s="20"/>
      <c r="H4" s="162"/>
      <c r="I4" s="19"/>
      <c r="J4" s="56"/>
      <c r="K4" s="209"/>
      <c r="L4" s="208"/>
      <c r="M4" s="208"/>
      <c r="N4" s="17"/>
      <c r="O4" s="22"/>
      <c r="P4" s="22"/>
      <c r="Q4" s="25"/>
      <c r="R4" s="17"/>
      <c r="S4" s="17"/>
      <c r="T4" s="17"/>
      <c r="U4" s="17"/>
      <c r="V4" s="17"/>
      <c r="W4" s="20"/>
      <c r="X4" s="162"/>
      <c r="Y4" s="19"/>
      <c r="Z4" s="17"/>
      <c r="AA4" s="17"/>
      <c r="AB4" s="17"/>
      <c r="AC4" s="17"/>
      <c r="AD4" s="20"/>
      <c r="AE4" s="92"/>
      <c r="AF4" s="98"/>
      <c r="AG4" s="98"/>
      <c r="AH4" s="98"/>
    </row>
    <row r="5" spans="2:39">
      <c r="B5" s="19"/>
      <c r="C5" s="17"/>
      <c r="D5" s="17"/>
      <c r="E5" s="17"/>
      <c r="F5" s="17"/>
      <c r="G5" s="20"/>
      <c r="H5" s="162"/>
      <c r="I5" s="19"/>
      <c r="J5" s="28" t="s">
        <v>10</v>
      </c>
      <c r="K5" s="209" t="s">
        <v>258</v>
      </c>
      <c r="L5" s="208"/>
      <c r="M5" s="208"/>
      <c r="N5" s="17"/>
      <c r="O5" s="22"/>
      <c r="P5" s="22"/>
      <c r="Q5" s="25"/>
      <c r="R5" s="17"/>
      <c r="S5" s="17"/>
      <c r="T5" s="17"/>
      <c r="U5" s="17"/>
      <c r="V5" s="17"/>
      <c r="W5" s="20"/>
      <c r="X5" s="162"/>
      <c r="Y5" s="19"/>
      <c r="Z5" s="17"/>
      <c r="AA5" s="17"/>
      <c r="AB5" s="17"/>
      <c r="AC5" s="17"/>
      <c r="AD5" s="20"/>
      <c r="AE5" s="92"/>
      <c r="AF5" s="102" t="s">
        <v>316</v>
      </c>
      <c r="AG5" s="103" t="s">
        <v>408</v>
      </c>
      <c r="AH5" s="103" t="s">
        <v>365</v>
      </c>
      <c r="AJ5" s="105" t="s">
        <v>313</v>
      </c>
      <c r="AK5" s="105" t="s">
        <v>314</v>
      </c>
      <c r="AL5" s="105" t="s">
        <v>314</v>
      </c>
      <c r="AM5" s="680" t="s">
        <v>368</v>
      </c>
    </row>
    <row r="6" spans="2:39">
      <c r="B6" s="19"/>
      <c r="C6" s="17"/>
      <c r="D6" s="17"/>
      <c r="E6" s="17"/>
      <c r="F6" s="17"/>
      <c r="G6" s="20"/>
      <c r="H6" s="162"/>
      <c r="I6" s="19"/>
      <c r="J6" s="56"/>
      <c r="K6" s="208"/>
      <c r="L6" s="208"/>
      <c r="M6" s="208"/>
      <c r="N6" s="17"/>
      <c r="O6" s="22"/>
      <c r="P6" s="22"/>
      <c r="Q6" s="25"/>
      <c r="R6" s="17"/>
      <c r="S6" s="17"/>
      <c r="T6" s="17"/>
      <c r="U6" s="17"/>
      <c r="V6" s="17"/>
      <c r="W6" s="20"/>
      <c r="X6" s="162"/>
      <c r="Y6" s="19"/>
      <c r="Z6" s="17"/>
      <c r="AA6" s="17"/>
      <c r="AB6" s="17"/>
      <c r="AC6" s="17"/>
      <c r="AD6" s="20"/>
      <c r="AE6" s="92"/>
      <c r="AF6" s="106"/>
      <c r="AG6" s="107"/>
      <c r="AH6" s="107"/>
      <c r="AJ6" s="180"/>
      <c r="AK6" s="180" t="s">
        <v>366</v>
      </c>
      <c r="AL6" s="180" t="s">
        <v>367</v>
      </c>
      <c r="AM6" s="680"/>
    </row>
    <row r="7" spans="2:39" ht="31.5" customHeight="1">
      <c r="B7" s="19"/>
      <c r="C7" s="665" t="s">
        <v>1110</v>
      </c>
      <c r="D7" s="666"/>
      <c r="E7" s="666"/>
      <c r="F7" s="667"/>
      <c r="G7" s="20"/>
      <c r="H7" s="162"/>
      <c r="I7" s="19"/>
      <c r="J7" s="719">
        <v>1.1000000000000001</v>
      </c>
      <c r="K7" s="720" t="s">
        <v>259</v>
      </c>
      <c r="L7" s="720"/>
      <c r="M7" s="720"/>
      <c r="N7" s="24"/>
      <c r="O7" s="960" t="s">
        <v>963</v>
      </c>
      <c r="P7" s="962"/>
      <c r="Q7" s="37" t="b">
        <v>0</v>
      </c>
      <c r="R7" s="22"/>
      <c r="S7" s="986" t="s">
        <v>60</v>
      </c>
      <c r="T7" s="986"/>
      <c r="U7" s="986"/>
      <c r="V7" s="986"/>
      <c r="W7" s="23"/>
      <c r="X7" s="162"/>
      <c r="Y7" s="19"/>
      <c r="Z7" s="707" t="str">
        <f>IF(AF11,Feedback_List!B81," ")</f>
        <v xml:space="preserve"> </v>
      </c>
      <c r="AA7" s="708"/>
      <c r="AB7" s="708"/>
      <c r="AC7" s="709"/>
      <c r="AD7" s="20"/>
      <c r="AE7" s="92"/>
      <c r="AF7" s="177">
        <f>IF(Q7, 1, 0)</f>
        <v>0</v>
      </c>
      <c r="AG7" s="178">
        <f>IF(AF7,7,IF(AF8,5,IF(AF9,3,IF(AF10,2,IF(AF11,0,0)))))</f>
        <v>0</v>
      </c>
      <c r="AH7" s="923">
        <f>SUM(AG7:AG23) * AM7</f>
        <v>0</v>
      </c>
      <c r="AJ7" s="108">
        <v>1</v>
      </c>
      <c r="AK7" s="108">
        <v>19</v>
      </c>
      <c r="AL7" s="108">
        <v>2</v>
      </c>
      <c r="AM7" s="193">
        <f>AL7/AK7</f>
        <v>0.10526315789473684</v>
      </c>
    </row>
    <row r="8" spans="2:39" ht="31.5" customHeight="1">
      <c r="B8" s="19"/>
      <c r="C8" s="668"/>
      <c r="D8" s="669"/>
      <c r="E8" s="669"/>
      <c r="F8" s="670"/>
      <c r="G8" s="20"/>
      <c r="H8" s="162"/>
      <c r="I8" s="19"/>
      <c r="J8" s="719"/>
      <c r="K8" s="720"/>
      <c r="L8" s="720"/>
      <c r="M8" s="720"/>
      <c r="N8" s="24"/>
      <c r="O8" s="960" t="s">
        <v>964</v>
      </c>
      <c r="P8" s="962"/>
      <c r="Q8" s="37" t="b">
        <v>0</v>
      </c>
      <c r="R8" s="22"/>
      <c r="S8" s="986"/>
      <c r="T8" s="986"/>
      <c r="U8" s="986"/>
      <c r="V8" s="986"/>
      <c r="W8" s="23"/>
      <c r="X8" s="162"/>
      <c r="Y8" s="19"/>
      <c r="Z8" s="701"/>
      <c r="AA8" s="702"/>
      <c r="AB8" s="702"/>
      <c r="AC8" s="703"/>
      <c r="AD8" s="20"/>
      <c r="AE8" s="92"/>
      <c r="AF8" s="117">
        <f t="shared" ref="AF8:AF11" si="0">IF(Q8, 1, 0)</f>
        <v>0</v>
      </c>
      <c r="AG8" s="116"/>
      <c r="AH8" s="924"/>
      <c r="AJ8" s="108">
        <v>2</v>
      </c>
      <c r="AK8" s="108">
        <v>7</v>
      </c>
      <c r="AL8" s="179">
        <v>1</v>
      </c>
      <c r="AM8" s="193">
        <f t="shared" ref="AM8:AM10" si="1">AL8/AK8</f>
        <v>0.14285714285714285</v>
      </c>
    </row>
    <row r="9" spans="2:39" ht="31.5" customHeight="1">
      <c r="B9" s="27"/>
      <c r="C9" s="668"/>
      <c r="D9" s="669"/>
      <c r="E9" s="669"/>
      <c r="F9" s="670"/>
      <c r="G9" s="23"/>
      <c r="H9" s="162"/>
      <c r="I9" s="19"/>
      <c r="J9" s="719"/>
      <c r="K9" s="720"/>
      <c r="L9" s="720"/>
      <c r="M9" s="720"/>
      <c r="N9" s="24"/>
      <c r="O9" s="960" t="s">
        <v>965</v>
      </c>
      <c r="P9" s="962"/>
      <c r="Q9" s="37" t="b">
        <v>0</v>
      </c>
      <c r="R9" s="22"/>
      <c r="S9" s="986"/>
      <c r="T9" s="986"/>
      <c r="U9" s="986"/>
      <c r="V9" s="986"/>
      <c r="W9" s="23"/>
      <c r="X9" s="162"/>
      <c r="Y9" s="27"/>
      <c r="Z9" s="701"/>
      <c r="AA9" s="702"/>
      <c r="AB9" s="702"/>
      <c r="AC9" s="703"/>
      <c r="AD9" s="23"/>
      <c r="AE9" s="96"/>
      <c r="AF9" s="117">
        <f t="shared" si="0"/>
        <v>0</v>
      </c>
      <c r="AG9" s="116"/>
      <c r="AH9" s="924"/>
      <c r="AJ9" s="108">
        <v>3</v>
      </c>
      <c r="AK9" s="108">
        <v>7</v>
      </c>
      <c r="AL9" s="108">
        <v>1</v>
      </c>
      <c r="AM9" s="193">
        <f t="shared" si="1"/>
        <v>0.14285714285714285</v>
      </c>
    </row>
    <row r="10" spans="2:39" ht="31.5" customHeight="1">
      <c r="B10" s="27"/>
      <c r="C10" s="668"/>
      <c r="D10" s="669"/>
      <c r="E10" s="669"/>
      <c r="F10" s="670"/>
      <c r="G10" s="23"/>
      <c r="H10" s="162"/>
      <c r="I10" s="19"/>
      <c r="J10" s="719"/>
      <c r="K10" s="720"/>
      <c r="L10" s="720"/>
      <c r="M10" s="720"/>
      <c r="N10" s="24"/>
      <c r="O10" s="960" t="s">
        <v>966</v>
      </c>
      <c r="P10" s="962"/>
      <c r="Q10" s="37" t="b">
        <v>0</v>
      </c>
      <c r="R10" s="22"/>
      <c r="S10" s="986"/>
      <c r="T10" s="986"/>
      <c r="U10" s="986"/>
      <c r="V10" s="986"/>
      <c r="W10" s="23"/>
      <c r="X10" s="162"/>
      <c r="Y10" s="27"/>
      <c r="Z10" s="701"/>
      <c r="AA10" s="702"/>
      <c r="AB10" s="702"/>
      <c r="AC10" s="703"/>
      <c r="AD10" s="23"/>
      <c r="AE10" s="96"/>
      <c r="AF10" s="117">
        <f t="shared" si="0"/>
        <v>0</v>
      </c>
      <c r="AG10" s="116"/>
      <c r="AH10" s="924"/>
      <c r="AJ10" s="108">
        <v>4</v>
      </c>
      <c r="AK10" s="108">
        <v>3</v>
      </c>
      <c r="AL10" s="108">
        <v>1</v>
      </c>
      <c r="AM10" s="193">
        <f t="shared" si="1"/>
        <v>0.33333333333333331</v>
      </c>
    </row>
    <row r="11" spans="2:39" ht="31.5" customHeight="1">
      <c r="B11" s="27"/>
      <c r="C11" s="668"/>
      <c r="D11" s="669"/>
      <c r="E11" s="669"/>
      <c r="F11" s="670"/>
      <c r="G11" s="23"/>
      <c r="H11" s="162"/>
      <c r="I11" s="19"/>
      <c r="J11" s="719"/>
      <c r="K11" s="720"/>
      <c r="L11" s="720"/>
      <c r="M11" s="720"/>
      <c r="N11" s="24"/>
      <c r="O11" s="960" t="s">
        <v>967</v>
      </c>
      <c r="P11" s="962"/>
      <c r="Q11" s="37" t="b">
        <v>0</v>
      </c>
      <c r="R11" s="22"/>
      <c r="S11" s="986"/>
      <c r="T11" s="986"/>
      <c r="U11" s="986"/>
      <c r="V11" s="986"/>
      <c r="W11" s="23"/>
      <c r="X11" s="162"/>
      <c r="Y11" s="27"/>
      <c r="Z11" s="704"/>
      <c r="AA11" s="705"/>
      <c r="AB11" s="705"/>
      <c r="AC11" s="706"/>
      <c r="AD11" s="23"/>
      <c r="AE11" s="96"/>
      <c r="AF11" s="117">
        <f t="shared" si="0"/>
        <v>0</v>
      </c>
      <c r="AG11" s="116"/>
      <c r="AH11" s="924"/>
      <c r="AJ11" s="246" t="s">
        <v>436</v>
      </c>
      <c r="AK11" s="246">
        <f>SUM(AK7:AK10)</f>
        <v>36</v>
      </c>
      <c r="AL11" s="246">
        <f>SUM(AL7:AL10)</f>
        <v>5</v>
      </c>
    </row>
    <row r="12" spans="2:39">
      <c r="B12" s="27"/>
      <c r="C12" s="668"/>
      <c r="D12" s="669"/>
      <c r="E12" s="669"/>
      <c r="F12" s="670"/>
      <c r="G12" s="23"/>
      <c r="H12" s="162"/>
      <c r="I12" s="9"/>
      <c r="J12" s="66"/>
      <c r="K12" s="210"/>
      <c r="L12" s="210"/>
      <c r="M12" s="210"/>
      <c r="N12" s="32"/>
      <c r="O12" s="201"/>
      <c r="P12" s="201"/>
      <c r="Q12" s="18"/>
      <c r="R12" s="10"/>
      <c r="S12" s="32"/>
      <c r="T12" s="32"/>
      <c r="U12" s="32"/>
      <c r="V12" s="32"/>
      <c r="W12" s="12"/>
      <c r="X12" s="162"/>
      <c r="Y12" s="27"/>
      <c r="Z12" s="33"/>
      <c r="AA12" s="33"/>
      <c r="AB12" s="33"/>
      <c r="AC12" s="33"/>
      <c r="AD12" s="23"/>
      <c r="AE12" s="96"/>
      <c r="AF12" s="117"/>
      <c r="AG12" s="116"/>
      <c r="AH12" s="924"/>
    </row>
    <row r="13" spans="2:39" ht="34.5" customHeight="1">
      <c r="B13" s="19"/>
      <c r="C13" s="668"/>
      <c r="D13" s="669"/>
      <c r="E13" s="669"/>
      <c r="F13" s="670"/>
      <c r="G13" s="20"/>
      <c r="H13" s="162"/>
      <c r="I13" s="9"/>
      <c r="J13" s="719">
        <v>1.2</v>
      </c>
      <c r="K13" s="720" t="s">
        <v>260</v>
      </c>
      <c r="L13" s="720"/>
      <c r="M13" s="720"/>
      <c r="N13" s="24"/>
      <c r="O13" s="960" t="s">
        <v>968</v>
      </c>
      <c r="P13" s="962"/>
      <c r="Q13" s="37" t="b">
        <v>0</v>
      </c>
      <c r="R13" s="22"/>
      <c r="S13" s="986" t="s">
        <v>60</v>
      </c>
      <c r="T13" s="986"/>
      <c r="U13" s="986"/>
      <c r="V13" s="986"/>
      <c r="W13" s="23"/>
      <c r="X13" s="162"/>
      <c r="Y13" s="19"/>
      <c r="Z13" s="690" t="str">
        <f>IF(AF18,Feedback_List!B82," ")</f>
        <v xml:space="preserve"> </v>
      </c>
      <c r="AA13" s="690"/>
      <c r="AB13" s="690"/>
      <c r="AC13" s="690"/>
      <c r="AD13" s="20"/>
      <c r="AE13" s="92"/>
      <c r="AF13" s="117">
        <f>IF(Q13, 1, 0)</f>
        <v>0</v>
      </c>
      <c r="AG13" s="116">
        <f>IF(AF13,7,IF(AF14,5,IF(AF15,3,IF(AF16,2,IF(AF17,1,IF(AF18,0,0))))))</f>
        <v>0</v>
      </c>
      <c r="AH13" s="924"/>
    </row>
    <row r="14" spans="2:39" ht="28.5" customHeight="1">
      <c r="B14" s="19"/>
      <c r="C14" s="668"/>
      <c r="D14" s="669"/>
      <c r="E14" s="669"/>
      <c r="F14" s="670"/>
      <c r="G14" s="20"/>
      <c r="H14" s="162"/>
      <c r="I14" s="9"/>
      <c r="J14" s="719"/>
      <c r="K14" s="720"/>
      <c r="L14" s="720"/>
      <c r="M14" s="720"/>
      <c r="N14" s="24"/>
      <c r="O14" s="960" t="s">
        <v>969</v>
      </c>
      <c r="P14" s="962"/>
      <c r="Q14" s="37" t="b">
        <v>0</v>
      </c>
      <c r="R14" s="22"/>
      <c r="S14" s="986"/>
      <c r="T14" s="986"/>
      <c r="U14" s="986"/>
      <c r="V14" s="986"/>
      <c r="W14" s="23"/>
      <c r="X14" s="162"/>
      <c r="Y14" s="19"/>
      <c r="Z14" s="690"/>
      <c r="AA14" s="690"/>
      <c r="AB14" s="690"/>
      <c r="AC14" s="690"/>
      <c r="AD14" s="20"/>
      <c r="AE14" s="92"/>
      <c r="AF14" s="117">
        <f t="shared" ref="AF14:AF22" si="2">IF(Q14, 1, 0)</f>
        <v>0</v>
      </c>
      <c r="AG14" s="116"/>
      <c r="AH14" s="924"/>
    </row>
    <row r="15" spans="2:39" ht="28.5" customHeight="1">
      <c r="B15" s="27"/>
      <c r="C15" s="668"/>
      <c r="D15" s="669"/>
      <c r="E15" s="669"/>
      <c r="F15" s="670"/>
      <c r="G15" s="23"/>
      <c r="H15" s="162"/>
      <c r="I15" s="9"/>
      <c r="J15" s="719"/>
      <c r="K15" s="720"/>
      <c r="L15" s="720"/>
      <c r="M15" s="720"/>
      <c r="N15" s="24"/>
      <c r="O15" s="960" t="s">
        <v>970</v>
      </c>
      <c r="P15" s="962"/>
      <c r="Q15" s="37" t="b">
        <v>0</v>
      </c>
      <c r="R15" s="22"/>
      <c r="S15" s="986"/>
      <c r="T15" s="986"/>
      <c r="U15" s="986"/>
      <c r="V15" s="986"/>
      <c r="W15" s="23"/>
      <c r="X15" s="162"/>
      <c r="Y15" s="27"/>
      <c r="Z15" s="690"/>
      <c r="AA15" s="690"/>
      <c r="AB15" s="690"/>
      <c r="AC15" s="690"/>
      <c r="AD15" s="23"/>
      <c r="AE15" s="96"/>
      <c r="AF15" s="117">
        <f t="shared" si="2"/>
        <v>0</v>
      </c>
      <c r="AG15" s="116"/>
      <c r="AH15" s="924"/>
    </row>
    <row r="16" spans="2:39" ht="28.5" customHeight="1">
      <c r="B16" s="27"/>
      <c r="C16" s="668"/>
      <c r="D16" s="669"/>
      <c r="E16" s="669"/>
      <c r="F16" s="670"/>
      <c r="G16" s="23"/>
      <c r="H16" s="162"/>
      <c r="I16" s="9"/>
      <c r="J16" s="719"/>
      <c r="K16" s="720"/>
      <c r="L16" s="720"/>
      <c r="M16" s="720"/>
      <c r="N16" s="24"/>
      <c r="O16" s="960" t="s">
        <v>971</v>
      </c>
      <c r="P16" s="962"/>
      <c r="Q16" s="37" t="b">
        <v>0</v>
      </c>
      <c r="R16" s="22"/>
      <c r="S16" s="986"/>
      <c r="T16" s="986"/>
      <c r="U16" s="986"/>
      <c r="V16" s="986"/>
      <c r="W16" s="23"/>
      <c r="X16" s="162"/>
      <c r="Y16" s="27"/>
      <c r="Z16" s="690"/>
      <c r="AA16" s="690"/>
      <c r="AB16" s="690"/>
      <c r="AC16" s="690"/>
      <c r="AD16" s="23"/>
      <c r="AE16" s="96"/>
      <c r="AF16" s="117">
        <f t="shared" si="2"/>
        <v>0</v>
      </c>
      <c r="AG16" s="116"/>
      <c r="AH16" s="924"/>
    </row>
    <row r="17" spans="2:34" ht="28.5" customHeight="1">
      <c r="B17" s="27"/>
      <c r="C17" s="668"/>
      <c r="D17" s="669"/>
      <c r="E17" s="669"/>
      <c r="F17" s="670"/>
      <c r="G17" s="23"/>
      <c r="H17" s="162"/>
      <c r="I17" s="9"/>
      <c r="J17" s="719"/>
      <c r="K17" s="720"/>
      <c r="L17" s="720"/>
      <c r="M17" s="720"/>
      <c r="N17" s="24"/>
      <c r="O17" s="960" t="s">
        <v>972</v>
      </c>
      <c r="P17" s="962"/>
      <c r="Q17" s="37" t="b">
        <v>0</v>
      </c>
      <c r="R17" s="22"/>
      <c r="S17" s="986"/>
      <c r="T17" s="986"/>
      <c r="U17" s="986"/>
      <c r="V17" s="986"/>
      <c r="W17" s="23"/>
      <c r="X17" s="162"/>
      <c r="Y17" s="27"/>
      <c r="Z17" s="690"/>
      <c r="AA17" s="690"/>
      <c r="AB17" s="690"/>
      <c r="AC17" s="690"/>
      <c r="AD17" s="23"/>
      <c r="AE17" s="96"/>
      <c r="AF17" s="117">
        <f t="shared" si="2"/>
        <v>0</v>
      </c>
      <c r="AG17" s="116"/>
      <c r="AH17" s="924"/>
    </row>
    <row r="18" spans="2:34" ht="28.5" customHeight="1">
      <c r="B18" s="9"/>
      <c r="C18" s="668"/>
      <c r="D18" s="669"/>
      <c r="E18" s="669"/>
      <c r="F18" s="670"/>
      <c r="G18" s="12"/>
      <c r="H18" s="165"/>
      <c r="I18" s="9"/>
      <c r="J18" s="719"/>
      <c r="K18" s="720"/>
      <c r="L18" s="720"/>
      <c r="M18" s="720"/>
      <c r="N18" s="10"/>
      <c r="O18" s="579" t="s">
        <v>973</v>
      </c>
      <c r="P18" s="581"/>
      <c r="Q18" s="37" t="b">
        <v>0</v>
      </c>
      <c r="R18" s="10"/>
      <c r="S18" s="986"/>
      <c r="T18" s="986"/>
      <c r="U18" s="986"/>
      <c r="V18" s="986"/>
      <c r="W18" s="12"/>
      <c r="X18" s="165"/>
      <c r="Y18" s="9"/>
      <c r="Z18" s="690"/>
      <c r="AA18" s="690"/>
      <c r="AB18" s="690"/>
      <c r="AC18" s="690"/>
      <c r="AD18" s="12"/>
      <c r="AF18" s="117">
        <f t="shared" si="2"/>
        <v>0</v>
      </c>
      <c r="AG18" s="140"/>
      <c r="AH18" s="924"/>
    </row>
    <row r="19" spans="2:34">
      <c r="B19" s="9"/>
      <c r="C19" s="668"/>
      <c r="D19" s="669"/>
      <c r="E19" s="669"/>
      <c r="F19" s="670"/>
      <c r="G19" s="12"/>
      <c r="H19" s="165"/>
      <c r="I19" s="9"/>
      <c r="J19" s="65"/>
      <c r="K19" s="216"/>
      <c r="L19" s="216"/>
      <c r="M19" s="216"/>
      <c r="N19" s="10"/>
      <c r="O19" s="201"/>
      <c r="P19" s="201"/>
      <c r="Q19" s="18"/>
      <c r="R19" s="10"/>
      <c r="S19" s="10"/>
      <c r="T19" s="10"/>
      <c r="U19" s="10"/>
      <c r="V19" s="10"/>
      <c r="W19" s="12"/>
      <c r="X19" s="165"/>
      <c r="Y19" s="9"/>
      <c r="Z19" s="10"/>
      <c r="AA19" s="10"/>
      <c r="AB19" s="10"/>
      <c r="AC19" s="10"/>
      <c r="AD19" s="12"/>
      <c r="AF19" s="141"/>
      <c r="AG19" s="140"/>
      <c r="AH19" s="924"/>
    </row>
    <row r="20" spans="2:34" ht="37.049999999999997" customHeight="1">
      <c r="B20" s="9"/>
      <c r="C20" s="668"/>
      <c r="D20" s="669"/>
      <c r="E20" s="669"/>
      <c r="F20" s="670"/>
      <c r="G20" s="12"/>
      <c r="H20" s="165"/>
      <c r="I20" s="9"/>
      <c r="J20" s="840">
        <v>1.3</v>
      </c>
      <c r="K20" s="817" t="s">
        <v>261</v>
      </c>
      <c r="L20" s="818"/>
      <c r="M20" s="819"/>
      <c r="N20" s="10"/>
      <c r="O20" s="595" t="s">
        <v>974</v>
      </c>
      <c r="P20" s="595"/>
      <c r="Q20" s="525" t="b">
        <v>0</v>
      </c>
      <c r="R20" s="10"/>
      <c r="S20" s="827" t="s">
        <v>60</v>
      </c>
      <c r="T20" s="828"/>
      <c r="U20" s="828"/>
      <c r="V20" s="829"/>
      <c r="W20" s="12"/>
      <c r="X20" s="165"/>
      <c r="Y20" s="9"/>
      <c r="Z20" s="599" t="str">
        <f>IF(AF23,Feedback_List!B83, " ")</f>
        <v xml:space="preserve"> </v>
      </c>
      <c r="AA20" s="600"/>
      <c r="AB20" s="600"/>
      <c r="AC20" s="601"/>
      <c r="AD20" s="12"/>
      <c r="AF20" s="117">
        <f t="shared" si="2"/>
        <v>0</v>
      </c>
      <c r="AG20" s="140">
        <f>IF(AF20,5,IF(AF22,0,0))</f>
        <v>0</v>
      </c>
      <c r="AH20" s="924"/>
    </row>
    <row r="21" spans="2:34" ht="42" customHeight="1">
      <c r="B21" s="9"/>
      <c r="C21" s="668"/>
      <c r="D21" s="669"/>
      <c r="E21" s="669"/>
      <c r="F21" s="670"/>
      <c r="G21" s="12"/>
      <c r="H21" s="165"/>
      <c r="I21" s="9"/>
      <c r="J21" s="841"/>
      <c r="K21" s="820"/>
      <c r="L21" s="821"/>
      <c r="M21" s="822"/>
      <c r="N21" s="10"/>
      <c r="O21" s="595" t="s">
        <v>975</v>
      </c>
      <c r="P21" s="595"/>
      <c r="Q21" s="525" t="b">
        <v>0</v>
      </c>
      <c r="R21" s="10"/>
      <c r="S21" s="830"/>
      <c r="T21" s="831"/>
      <c r="U21" s="831"/>
      <c r="V21" s="832"/>
      <c r="W21" s="12"/>
      <c r="X21" s="165"/>
      <c r="Y21" s="9"/>
      <c r="Z21" s="602"/>
      <c r="AA21" s="603"/>
      <c r="AB21" s="603"/>
      <c r="AC21" s="604"/>
      <c r="AD21" s="12"/>
      <c r="AF21" s="117">
        <f t="shared" si="2"/>
        <v>0</v>
      </c>
      <c r="AG21" s="140"/>
      <c r="AH21" s="924"/>
    </row>
    <row r="22" spans="2:34" ht="24" customHeight="1">
      <c r="B22" s="9"/>
      <c r="C22" s="668"/>
      <c r="D22" s="669"/>
      <c r="E22" s="669"/>
      <c r="F22" s="670"/>
      <c r="G22" s="12"/>
      <c r="H22" s="165"/>
      <c r="I22" s="9"/>
      <c r="J22" s="841"/>
      <c r="K22" s="820"/>
      <c r="L22" s="821"/>
      <c r="M22" s="822"/>
      <c r="N22" s="10"/>
      <c r="O22" s="595" t="s">
        <v>976</v>
      </c>
      <c r="P22" s="595"/>
      <c r="Q22" s="525" t="b">
        <v>0</v>
      </c>
      <c r="R22" s="10"/>
      <c r="S22" s="830"/>
      <c r="T22" s="831"/>
      <c r="U22" s="831"/>
      <c r="V22" s="832"/>
      <c r="W22" s="12"/>
      <c r="X22" s="165"/>
      <c r="Y22" s="9"/>
      <c r="Z22" s="602"/>
      <c r="AA22" s="603"/>
      <c r="AB22" s="603"/>
      <c r="AC22" s="604"/>
      <c r="AD22" s="12"/>
      <c r="AF22" s="117">
        <f t="shared" si="2"/>
        <v>0</v>
      </c>
      <c r="AG22" s="140"/>
      <c r="AH22" s="924"/>
    </row>
    <row r="23" spans="2:34" ht="24" customHeight="1">
      <c r="B23" s="9"/>
      <c r="C23" s="671"/>
      <c r="D23" s="672"/>
      <c r="E23" s="672"/>
      <c r="F23" s="673"/>
      <c r="G23" s="12"/>
      <c r="H23" s="165"/>
      <c r="I23" s="9"/>
      <c r="J23" s="842"/>
      <c r="K23" s="823"/>
      <c r="L23" s="824"/>
      <c r="M23" s="825"/>
      <c r="N23" s="10"/>
      <c r="O23" s="595" t="s">
        <v>977</v>
      </c>
      <c r="P23" s="595"/>
      <c r="Q23" s="525" t="b">
        <v>0</v>
      </c>
      <c r="R23" s="10"/>
      <c r="S23" s="833"/>
      <c r="T23" s="834"/>
      <c r="U23" s="834"/>
      <c r="V23" s="835"/>
      <c r="W23" s="12"/>
      <c r="X23" s="165"/>
      <c r="Y23" s="9"/>
      <c r="Z23" s="605"/>
      <c r="AA23" s="606"/>
      <c r="AB23" s="606"/>
      <c r="AC23" s="607"/>
      <c r="AD23" s="12"/>
      <c r="AF23" s="106">
        <f>IF(Q23, 1, 0)</f>
        <v>0</v>
      </c>
      <c r="AG23" s="142"/>
      <c r="AH23" s="142"/>
    </row>
    <row r="24" spans="2:34" ht="18" thickBot="1">
      <c r="B24" s="9"/>
      <c r="C24" s="33"/>
      <c r="D24" s="33"/>
      <c r="E24" s="33"/>
      <c r="F24" s="33"/>
      <c r="G24" s="12"/>
      <c r="H24" s="165"/>
      <c r="I24" s="9"/>
      <c r="J24" s="65"/>
      <c r="K24" s="216"/>
      <c r="L24" s="216"/>
      <c r="M24" s="216"/>
      <c r="N24" s="10"/>
      <c r="O24" s="201"/>
      <c r="P24" s="201"/>
      <c r="Q24" s="18"/>
      <c r="R24" s="10"/>
      <c r="S24" s="10"/>
      <c r="T24" s="10"/>
      <c r="U24" s="10"/>
      <c r="V24" s="10"/>
      <c r="W24" s="12"/>
      <c r="X24" s="165"/>
      <c r="Y24" s="9"/>
      <c r="Z24" s="10"/>
      <c r="AA24" s="10"/>
      <c r="AB24" s="10"/>
      <c r="AC24" s="10"/>
      <c r="AD24" s="12"/>
      <c r="AF24" s="526">
        <f>SUM(AF7:AF23)</f>
        <v>0</v>
      </c>
      <c r="AG24" s="526">
        <f>SUM(AG7:AG23)</f>
        <v>0</v>
      </c>
      <c r="AH24" s="526"/>
    </row>
    <row r="25" spans="2:34" ht="18" thickTop="1">
      <c r="B25" s="9"/>
      <c r="C25" s="10"/>
      <c r="D25" s="10"/>
      <c r="E25" s="10"/>
      <c r="F25" s="10"/>
      <c r="G25" s="12"/>
      <c r="H25" s="165"/>
      <c r="I25" s="9"/>
      <c r="J25" s="28" t="s">
        <v>18</v>
      </c>
      <c r="K25" s="209" t="s">
        <v>262</v>
      </c>
      <c r="L25" s="216"/>
      <c r="M25" s="216"/>
      <c r="N25" s="10"/>
      <c r="O25" s="201"/>
      <c r="P25" s="201"/>
      <c r="Q25" s="18"/>
      <c r="R25" s="10"/>
      <c r="S25" s="10"/>
      <c r="T25" s="10"/>
      <c r="U25" s="10"/>
      <c r="V25" s="10"/>
      <c r="W25" s="12"/>
      <c r="X25" s="165"/>
      <c r="Y25" s="9"/>
      <c r="Z25" s="10"/>
      <c r="AA25" s="10"/>
      <c r="AB25" s="10"/>
      <c r="AC25" s="10"/>
      <c r="AD25" s="12"/>
    </row>
    <row r="26" spans="2:34" ht="25.95" customHeight="1">
      <c r="B26" s="9"/>
      <c r="C26" s="10"/>
      <c r="D26" s="10"/>
      <c r="E26" s="10"/>
      <c r="F26" s="10"/>
      <c r="G26" s="12"/>
      <c r="H26" s="165"/>
      <c r="I26" s="9"/>
      <c r="J26" s="65"/>
      <c r="K26" s="216"/>
      <c r="L26" s="216"/>
      <c r="M26" s="216"/>
      <c r="N26" s="10"/>
      <c r="O26" s="201"/>
      <c r="P26" s="201"/>
      <c r="Q26" s="18"/>
      <c r="R26" s="10"/>
      <c r="S26" s="10"/>
      <c r="T26" s="10"/>
      <c r="U26" s="10"/>
      <c r="V26" s="10"/>
      <c r="W26" s="12"/>
      <c r="X26" s="165"/>
      <c r="Y26" s="9"/>
      <c r="Z26" s="10"/>
      <c r="AA26" s="10"/>
      <c r="AB26" s="10"/>
      <c r="AC26" s="10"/>
      <c r="AD26" s="12"/>
    </row>
    <row r="27" spans="2:34" ht="33" customHeight="1">
      <c r="B27" s="19"/>
      <c r="C27" s="769" t="s">
        <v>1111</v>
      </c>
      <c r="D27" s="770"/>
      <c r="E27" s="770"/>
      <c r="F27" s="771"/>
      <c r="G27" s="20"/>
      <c r="H27" s="162"/>
      <c r="I27" s="9"/>
      <c r="J27" s="719">
        <v>2.1</v>
      </c>
      <c r="K27" s="890" t="s">
        <v>979</v>
      </c>
      <c r="L27" s="890"/>
      <c r="M27" s="890"/>
      <c r="N27" s="24"/>
      <c r="O27" s="960" t="s">
        <v>980</v>
      </c>
      <c r="P27" s="962"/>
      <c r="Q27" s="37" t="b">
        <v>0</v>
      </c>
      <c r="R27" s="22"/>
      <c r="S27" s="619" t="s">
        <v>60</v>
      </c>
      <c r="T27" s="619"/>
      <c r="U27" s="619"/>
      <c r="V27" s="619"/>
      <c r="W27" s="23"/>
      <c r="X27" s="162"/>
      <c r="Y27" s="19"/>
      <c r="Z27" s="698" t="str">
        <f>IF(AF30,Feedback_List!B85," ")</f>
        <v xml:space="preserve"> </v>
      </c>
      <c r="AA27" s="699"/>
      <c r="AB27" s="699"/>
      <c r="AC27" s="700"/>
      <c r="AD27" s="20"/>
      <c r="AE27" s="92"/>
      <c r="AF27" s="126">
        <f>IF(Q27, 1, 0)</f>
        <v>0</v>
      </c>
      <c r="AG27" s="115">
        <f>IF(AF27,7,IF(AF28,5,IF(AF29,2,IF(AF30,0,0))))</f>
        <v>0</v>
      </c>
      <c r="AH27" s="733">
        <f>SUM(AG27:AG30) * AM8</f>
        <v>0</v>
      </c>
    </row>
    <row r="28" spans="2:34" ht="33" customHeight="1">
      <c r="B28" s="19"/>
      <c r="C28" s="772"/>
      <c r="D28" s="773"/>
      <c r="E28" s="773"/>
      <c r="F28" s="774"/>
      <c r="G28" s="20"/>
      <c r="H28" s="162"/>
      <c r="I28" s="9"/>
      <c r="J28" s="719"/>
      <c r="K28" s="890"/>
      <c r="L28" s="890"/>
      <c r="M28" s="890"/>
      <c r="N28" s="24"/>
      <c r="O28" s="960" t="s">
        <v>981</v>
      </c>
      <c r="P28" s="962"/>
      <c r="Q28" s="37" t="b">
        <v>0</v>
      </c>
      <c r="R28" s="22"/>
      <c r="S28" s="619"/>
      <c r="T28" s="619"/>
      <c r="U28" s="619"/>
      <c r="V28" s="619"/>
      <c r="W28" s="23"/>
      <c r="X28" s="162"/>
      <c r="Y28" s="19"/>
      <c r="Z28" s="701"/>
      <c r="AA28" s="702"/>
      <c r="AB28" s="702"/>
      <c r="AC28" s="703"/>
      <c r="AD28" s="20"/>
      <c r="AE28" s="92"/>
      <c r="AF28" s="117">
        <f t="shared" ref="AF28:AF30" si="3">IF(Q28, 1, 0)</f>
        <v>0</v>
      </c>
      <c r="AG28" s="116"/>
      <c r="AH28" s="734"/>
    </row>
    <row r="29" spans="2:34" ht="33" customHeight="1">
      <c r="B29" s="27"/>
      <c r="C29" s="772"/>
      <c r="D29" s="773"/>
      <c r="E29" s="773"/>
      <c r="F29" s="774"/>
      <c r="G29" s="23"/>
      <c r="H29" s="162"/>
      <c r="I29" s="9"/>
      <c r="J29" s="719"/>
      <c r="K29" s="890"/>
      <c r="L29" s="890"/>
      <c r="M29" s="890"/>
      <c r="N29" s="24"/>
      <c r="O29" s="960" t="s">
        <v>982</v>
      </c>
      <c r="P29" s="962"/>
      <c r="Q29" s="37" t="b">
        <v>0</v>
      </c>
      <c r="R29" s="22"/>
      <c r="S29" s="619"/>
      <c r="T29" s="619"/>
      <c r="U29" s="619"/>
      <c r="V29" s="619"/>
      <c r="W29" s="23"/>
      <c r="X29" s="162"/>
      <c r="Y29" s="27"/>
      <c r="Z29" s="701"/>
      <c r="AA29" s="702"/>
      <c r="AB29" s="702"/>
      <c r="AC29" s="703"/>
      <c r="AD29" s="23"/>
      <c r="AE29" s="96"/>
      <c r="AF29" s="117">
        <f t="shared" si="3"/>
        <v>0</v>
      </c>
      <c r="AG29" s="116"/>
      <c r="AH29" s="734"/>
    </row>
    <row r="30" spans="2:34" ht="33" customHeight="1">
      <c r="B30" s="27"/>
      <c r="C30" s="772"/>
      <c r="D30" s="773"/>
      <c r="E30" s="773"/>
      <c r="F30" s="774"/>
      <c r="G30" s="23"/>
      <c r="H30" s="162"/>
      <c r="I30" s="9"/>
      <c r="J30" s="719"/>
      <c r="K30" s="890"/>
      <c r="L30" s="890"/>
      <c r="M30" s="890"/>
      <c r="N30" s="24"/>
      <c r="O30" s="960" t="s">
        <v>983</v>
      </c>
      <c r="P30" s="962"/>
      <c r="Q30" s="37" t="b">
        <v>0</v>
      </c>
      <c r="R30" s="22"/>
      <c r="S30" s="619"/>
      <c r="T30" s="619"/>
      <c r="U30" s="619"/>
      <c r="V30" s="619"/>
      <c r="W30" s="23"/>
      <c r="X30" s="162"/>
      <c r="Y30" s="27"/>
      <c r="Z30" s="704"/>
      <c r="AA30" s="705"/>
      <c r="AB30" s="705"/>
      <c r="AC30" s="706"/>
      <c r="AD30" s="23"/>
      <c r="AE30" s="96"/>
      <c r="AF30" s="106">
        <f t="shared" si="3"/>
        <v>0</v>
      </c>
      <c r="AG30" s="107"/>
      <c r="AH30" s="735"/>
    </row>
    <row r="31" spans="2:34" ht="18" thickBot="1">
      <c r="B31" s="9"/>
      <c r="C31" s="772"/>
      <c r="D31" s="773"/>
      <c r="E31" s="773"/>
      <c r="F31" s="774"/>
      <c r="G31" s="12"/>
      <c r="H31" s="165"/>
      <c r="I31" s="9"/>
      <c r="J31" s="65"/>
      <c r="K31" s="216"/>
      <c r="L31" s="216"/>
      <c r="M31" s="216"/>
      <c r="N31" s="10"/>
      <c r="O31" s="201"/>
      <c r="P31" s="201"/>
      <c r="Q31" s="18"/>
      <c r="R31" s="10"/>
      <c r="S31" s="10"/>
      <c r="T31" s="10"/>
      <c r="U31" s="10"/>
      <c r="V31" s="10"/>
      <c r="W31" s="12"/>
      <c r="X31" s="165"/>
      <c r="Y31" s="9"/>
      <c r="Z31" s="10"/>
      <c r="AA31" s="10"/>
      <c r="AB31" s="10"/>
      <c r="AC31" s="10"/>
      <c r="AD31" s="12"/>
      <c r="AF31" s="135">
        <f>SUM(AF27:AF30)</f>
        <v>0</v>
      </c>
      <c r="AG31" s="135">
        <f>SUM(AG27:AG30)</f>
        <v>0</v>
      </c>
      <c r="AH31" s="135"/>
    </row>
    <row r="32" spans="2:34" ht="18" thickTop="1">
      <c r="B32" s="9"/>
      <c r="C32" s="772"/>
      <c r="D32" s="773"/>
      <c r="E32" s="773"/>
      <c r="F32" s="774"/>
      <c r="G32" s="12"/>
      <c r="H32" s="165"/>
      <c r="I32" s="9"/>
      <c r="J32" s="28" t="s">
        <v>29</v>
      </c>
      <c r="K32" s="209" t="s">
        <v>263</v>
      </c>
      <c r="L32" s="216"/>
      <c r="M32" s="216"/>
      <c r="N32" s="10"/>
      <c r="O32" s="201"/>
      <c r="P32" s="201"/>
      <c r="Q32" s="18"/>
      <c r="R32" s="10"/>
      <c r="S32" s="10"/>
      <c r="T32" s="10"/>
      <c r="U32" s="10"/>
      <c r="V32" s="10"/>
      <c r="W32" s="12"/>
      <c r="X32" s="165"/>
      <c r="Y32" s="9"/>
      <c r="Z32" s="10"/>
      <c r="AA32" s="10"/>
      <c r="AB32" s="10"/>
      <c r="AC32" s="10"/>
      <c r="AD32" s="12"/>
    </row>
    <row r="33" spans="2:34">
      <c r="B33" s="9"/>
      <c r="C33" s="772"/>
      <c r="D33" s="773"/>
      <c r="E33" s="773"/>
      <c r="F33" s="774"/>
      <c r="G33" s="12"/>
      <c r="H33" s="165"/>
      <c r="I33" s="9"/>
      <c r="J33" s="65"/>
      <c r="K33" s="216"/>
      <c r="L33" s="216"/>
      <c r="M33" s="216"/>
      <c r="N33" s="10"/>
      <c r="O33" s="201"/>
      <c r="P33" s="201"/>
      <c r="Q33" s="18"/>
      <c r="R33" s="10"/>
      <c r="S33" s="10"/>
      <c r="T33" s="10"/>
      <c r="U33" s="10"/>
      <c r="V33" s="10"/>
      <c r="W33" s="12"/>
      <c r="X33" s="165"/>
      <c r="Y33" s="9"/>
      <c r="Z33" s="10"/>
      <c r="AA33" s="10"/>
      <c r="AB33" s="10"/>
      <c r="AC33" s="10"/>
      <c r="AD33" s="12"/>
    </row>
    <row r="34" spans="2:34" ht="31.5" customHeight="1">
      <c r="B34" s="19"/>
      <c r="C34" s="772"/>
      <c r="D34" s="773"/>
      <c r="E34" s="773"/>
      <c r="F34" s="774"/>
      <c r="G34" s="20"/>
      <c r="H34" s="162"/>
      <c r="I34" s="9"/>
      <c r="J34" s="719">
        <v>3.1</v>
      </c>
      <c r="K34" s="720" t="s">
        <v>984</v>
      </c>
      <c r="L34" s="720"/>
      <c r="M34" s="720"/>
      <c r="N34" s="24"/>
      <c r="O34" s="960" t="s">
        <v>985</v>
      </c>
      <c r="P34" s="962"/>
      <c r="Q34" s="37" t="b">
        <v>0</v>
      </c>
      <c r="R34" s="22"/>
      <c r="S34" s="986" t="s">
        <v>60</v>
      </c>
      <c r="T34" s="986"/>
      <c r="U34" s="986"/>
      <c r="V34" s="986"/>
      <c r="W34" s="23"/>
      <c r="X34" s="162"/>
      <c r="Y34" s="19"/>
      <c r="Z34" s="707" t="str">
        <f>IF(AF38,Feedback_List!B87," ")</f>
        <v xml:space="preserve"> </v>
      </c>
      <c r="AA34" s="708"/>
      <c r="AB34" s="708"/>
      <c r="AC34" s="709"/>
      <c r="AD34" s="20"/>
      <c r="AE34" s="92"/>
      <c r="AF34" s="126">
        <f>IF(Q34, 1, 0)</f>
        <v>0</v>
      </c>
      <c r="AG34" s="115">
        <f>IF(AF34,7,IF(AF35,5,IF(AF36,3,IF(AF37,2,IF(AF38,0,0)))))</f>
        <v>0</v>
      </c>
      <c r="AH34" s="733">
        <f>SUM(AG34:AG38) * AM9</f>
        <v>0</v>
      </c>
    </row>
    <row r="35" spans="2:34" ht="15.45" customHeight="1">
      <c r="B35" s="19"/>
      <c r="C35" s="772"/>
      <c r="D35" s="773"/>
      <c r="E35" s="773"/>
      <c r="F35" s="774"/>
      <c r="G35" s="20"/>
      <c r="H35" s="162"/>
      <c r="I35" s="9"/>
      <c r="J35" s="719"/>
      <c r="K35" s="720"/>
      <c r="L35" s="720"/>
      <c r="M35" s="720"/>
      <c r="N35" s="24"/>
      <c r="O35" s="960" t="s">
        <v>986</v>
      </c>
      <c r="P35" s="962"/>
      <c r="Q35" s="37" t="b">
        <v>0</v>
      </c>
      <c r="R35" s="22"/>
      <c r="S35" s="986"/>
      <c r="T35" s="986"/>
      <c r="U35" s="986"/>
      <c r="V35" s="986"/>
      <c r="W35" s="23"/>
      <c r="X35" s="162"/>
      <c r="Y35" s="19"/>
      <c r="Z35" s="701"/>
      <c r="AA35" s="702"/>
      <c r="AB35" s="702"/>
      <c r="AC35" s="703"/>
      <c r="AD35" s="20"/>
      <c r="AE35" s="92"/>
      <c r="AF35" s="117">
        <f t="shared" ref="AF35:AF38" si="4">IF(Q35, 1, 0)</f>
        <v>0</v>
      </c>
      <c r="AG35" s="116"/>
      <c r="AH35" s="734"/>
    </row>
    <row r="36" spans="2:34" ht="15.45" customHeight="1">
      <c r="B36" s="27"/>
      <c r="C36" s="772"/>
      <c r="D36" s="773"/>
      <c r="E36" s="773"/>
      <c r="F36" s="774"/>
      <c r="G36" s="23"/>
      <c r="H36" s="162"/>
      <c r="I36" s="9"/>
      <c r="J36" s="719"/>
      <c r="K36" s="720"/>
      <c r="L36" s="720"/>
      <c r="M36" s="720"/>
      <c r="N36" s="24"/>
      <c r="O36" s="960" t="s">
        <v>987</v>
      </c>
      <c r="P36" s="962"/>
      <c r="Q36" s="37" t="b">
        <v>0</v>
      </c>
      <c r="R36" s="22"/>
      <c r="S36" s="986"/>
      <c r="T36" s="986"/>
      <c r="U36" s="986"/>
      <c r="V36" s="986"/>
      <c r="W36" s="23"/>
      <c r="X36" s="162"/>
      <c r="Y36" s="27"/>
      <c r="Z36" s="701"/>
      <c r="AA36" s="702"/>
      <c r="AB36" s="702"/>
      <c r="AC36" s="703"/>
      <c r="AD36" s="23"/>
      <c r="AE36" s="96"/>
      <c r="AF36" s="117">
        <f t="shared" si="4"/>
        <v>0</v>
      </c>
      <c r="AG36" s="116"/>
      <c r="AH36" s="734"/>
    </row>
    <row r="37" spans="2:34" ht="15.45" customHeight="1">
      <c r="B37" s="27"/>
      <c r="C37" s="772"/>
      <c r="D37" s="773"/>
      <c r="E37" s="773"/>
      <c r="F37" s="774"/>
      <c r="G37" s="23"/>
      <c r="H37" s="162"/>
      <c r="I37" s="9"/>
      <c r="J37" s="719"/>
      <c r="K37" s="720"/>
      <c r="L37" s="720"/>
      <c r="M37" s="720"/>
      <c r="N37" s="24"/>
      <c r="O37" s="960" t="s">
        <v>988</v>
      </c>
      <c r="P37" s="962"/>
      <c r="Q37" s="37" t="b">
        <v>0</v>
      </c>
      <c r="R37" s="22"/>
      <c r="S37" s="986"/>
      <c r="T37" s="986"/>
      <c r="U37" s="986"/>
      <c r="V37" s="986"/>
      <c r="W37" s="23"/>
      <c r="X37" s="162"/>
      <c r="Y37" s="27"/>
      <c r="Z37" s="701"/>
      <c r="AA37" s="702"/>
      <c r="AB37" s="702"/>
      <c r="AC37" s="703"/>
      <c r="AD37" s="23"/>
      <c r="AE37" s="96"/>
      <c r="AF37" s="117">
        <f t="shared" si="4"/>
        <v>0</v>
      </c>
      <c r="AG37" s="116"/>
      <c r="AH37" s="734"/>
    </row>
    <row r="38" spans="2:34" ht="15.45" customHeight="1">
      <c r="B38" s="27"/>
      <c r="C38" s="775"/>
      <c r="D38" s="776"/>
      <c r="E38" s="776"/>
      <c r="F38" s="777"/>
      <c r="G38" s="23"/>
      <c r="H38" s="162"/>
      <c r="I38" s="9"/>
      <c r="J38" s="719"/>
      <c r="K38" s="720"/>
      <c r="L38" s="720"/>
      <c r="M38" s="720"/>
      <c r="N38" s="24"/>
      <c r="O38" s="960" t="s">
        <v>989</v>
      </c>
      <c r="P38" s="962"/>
      <c r="Q38" s="37" t="b">
        <v>0</v>
      </c>
      <c r="R38" s="22"/>
      <c r="S38" s="986"/>
      <c r="T38" s="986"/>
      <c r="U38" s="986"/>
      <c r="V38" s="986"/>
      <c r="W38" s="23"/>
      <c r="X38" s="162"/>
      <c r="Y38" s="27"/>
      <c r="Z38" s="704"/>
      <c r="AA38" s="705"/>
      <c r="AB38" s="705"/>
      <c r="AC38" s="706"/>
      <c r="AD38" s="23"/>
      <c r="AE38" s="96"/>
      <c r="AF38" s="106">
        <f t="shared" si="4"/>
        <v>0</v>
      </c>
      <c r="AG38" s="107"/>
      <c r="AH38" s="735"/>
    </row>
    <row r="39" spans="2:34" ht="18" thickBot="1">
      <c r="B39" s="9"/>
      <c r="C39" s="10"/>
      <c r="D39" s="10"/>
      <c r="E39" s="10"/>
      <c r="F39" s="10"/>
      <c r="G39" s="12"/>
      <c r="H39" s="165"/>
      <c r="I39" s="9"/>
      <c r="J39" s="65"/>
      <c r="K39" s="216"/>
      <c r="L39" s="216"/>
      <c r="M39" s="216"/>
      <c r="N39" s="10"/>
      <c r="O39" s="201"/>
      <c r="P39" s="201"/>
      <c r="Q39" s="18"/>
      <c r="R39" s="10"/>
      <c r="S39" s="10"/>
      <c r="T39" s="10"/>
      <c r="U39" s="10"/>
      <c r="V39" s="10"/>
      <c r="W39" s="12"/>
      <c r="X39" s="165"/>
      <c r="Y39" s="9"/>
      <c r="Z39" s="10"/>
      <c r="AA39" s="10"/>
      <c r="AB39" s="10"/>
      <c r="AC39" s="10"/>
      <c r="AD39" s="12"/>
      <c r="AF39" s="135">
        <f>SUM(AF34:AF38)</f>
        <v>0</v>
      </c>
      <c r="AG39" s="135">
        <f>SUM(AG34:AG38)</f>
        <v>0</v>
      </c>
      <c r="AH39" s="135"/>
    </row>
    <row r="40" spans="2:34" ht="18" thickTop="1">
      <c r="B40" s="9"/>
      <c r="C40" s="10"/>
      <c r="D40" s="10"/>
      <c r="E40" s="10"/>
      <c r="F40" s="10"/>
      <c r="G40" s="12"/>
      <c r="H40" s="165"/>
      <c r="I40" s="9"/>
      <c r="J40" s="28" t="s">
        <v>30</v>
      </c>
      <c r="K40" s="209" t="s">
        <v>264</v>
      </c>
      <c r="L40" s="216"/>
      <c r="M40" s="216"/>
      <c r="N40" s="10"/>
      <c r="O40" s="201"/>
      <c r="P40" s="201"/>
      <c r="Q40" s="18"/>
      <c r="R40" s="10"/>
      <c r="S40" s="10"/>
      <c r="T40" s="10"/>
      <c r="U40" s="10"/>
      <c r="V40" s="10"/>
      <c r="W40" s="12"/>
      <c r="X40" s="165"/>
      <c r="Y40" s="9"/>
      <c r="Z40" s="10"/>
      <c r="AA40" s="10"/>
      <c r="AB40" s="10"/>
      <c r="AC40" s="10"/>
      <c r="AD40" s="12"/>
    </row>
    <row r="41" spans="2:34">
      <c r="B41" s="9"/>
      <c r="C41" s="10"/>
      <c r="D41" s="10"/>
      <c r="E41" s="10"/>
      <c r="F41" s="10"/>
      <c r="G41" s="12"/>
      <c r="H41" s="165"/>
      <c r="I41" s="9"/>
      <c r="J41" s="65"/>
      <c r="K41" s="216"/>
      <c r="L41" s="216"/>
      <c r="M41" s="216"/>
      <c r="N41" s="10"/>
      <c r="O41" s="201"/>
      <c r="P41" s="201"/>
      <c r="Q41" s="18"/>
      <c r="R41" s="10"/>
      <c r="S41" s="10"/>
      <c r="T41" s="10"/>
      <c r="U41" s="10"/>
      <c r="V41" s="10"/>
      <c r="W41" s="12"/>
      <c r="X41" s="165"/>
      <c r="Y41" s="9"/>
      <c r="Z41" s="10"/>
      <c r="AA41" s="10"/>
      <c r="AB41" s="10"/>
      <c r="AC41" s="10"/>
      <c r="AD41" s="12"/>
    </row>
    <row r="42" spans="2:34" ht="22.5" customHeight="1">
      <c r="B42" s="19"/>
      <c r="C42" s="769" t="s">
        <v>1112</v>
      </c>
      <c r="D42" s="770"/>
      <c r="E42" s="770"/>
      <c r="F42" s="771"/>
      <c r="G42" s="20"/>
      <c r="H42" s="162"/>
      <c r="I42" s="9"/>
      <c r="J42" s="662">
        <v>4.0999999999999996</v>
      </c>
      <c r="K42" s="653" t="s">
        <v>265</v>
      </c>
      <c r="L42" s="654"/>
      <c r="M42" s="655"/>
      <c r="N42" s="24"/>
      <c r="O42" s="996" t="s">
        <v>1055</v>
      </c>
      <c r="P42" s="997"/>
      <c r="Q42" s="37" t="b">
        <v>0</v>
      </c>
      <c r="R42" s="22"/>
      <c r="S42" s="920" t="s">
        <v>60</v>
      </c>
      <c r="T42" s="624"/>
      <c r="U42" s="624"/>
      <c r="V42" s="625"/>
      <c r="W42" s="23"/>
      <c r="X42" s="162"/>
      <c r="Y42" s="19"/>
      <c r="Z42" s="920" t="str">
        <f>IF(AF46,Feedback_List!B89," ")</f>
        <v xml:space="preserve"> </v>
      </c>
      <c r="AA42" s="624"/>
      <c r="AB42" s="624"/>
      <c r="AC42" s="625"/>
      <c r="AD42" s="20"/>
      <c r="AE42" s="92"/>
      <c r="AF42" s="126">
        <f>IF(Q42, 1, 0)</f>
        <v>0</v>
      </c>
      <c r="AG42" s="115">
        <f>IF(AF42,3,IF(AF43,2,IF(AF44,3,IF(AF45,0,IF(AF46,0,0)))))</f>
        <v>0</v>
      </c>
      <c r="AH42" s="733">
        <f>SUM(AG42:AG47) * AM10</f>
        <v>0</v>
      </c>
    </row>
    <row r="43" spans="2:34" ht="22.5" customHeight="1">
      <c r="B43" s="19"/>
      <c r="C43" s="772"/>
      <c r="D43" s="773"/>
      <c r="E43" s="773"/>
      <c r="F43" s="774"/>
      <c r="G43" s="20"/>
      <c r="H43" s="162"/>
      <c r="I43" s="9"/>
      <c r="J43" s="663"/>
      <c r="K43" s="656"/>
      <c r="L43" s="657"/>
      <c r="M43" s="658"/>
      <c r="N43" s="24"/>
      <c r="O43" s="996" t="s">
        <v>266</v>
      </c>
      <c r="P43" s="997"/>
      <c r="Q43" s="37" t="b">
        <v>0</v>
      </c>
      <c r="R43" s="22"/>
      <c r="S43" s="921"/>
      <c r="T43" s="645"/>
      <c r="U43" s="645"/>
      <c r="V43" s="646"/>
      <c r="W43" s="23"/>
      <c r="X43" s="162"/>
      <c r="Y43" s="19"/>
      <c r="Z43" s="921"/>
      <c r="AA43" s="645"/>
      <c r="AB43" s="645"/>
      <c r="AC43" s="646"/>
      <c r="AD43" s="20"/>
      <c r="AE43" s="92"/>
      <c r="AF43" s="117">
        <f t="shared" ref="AF43:AF47" si="5">IF(Q43, 1, 0)</f>
        <v>0</v>
      </c>
      <c r="AG43" s="116"/>
      <c r="AH43" s="734"/>
    </row>
    <row r="44" spans="2:34" ht="22.5" customHeight="1">
      <c r="B44" s="27"/>
      <c r="C44" s="772"/>
      <c r="D44" s="773"/>
      <c r="E44" s="773"/>
      <c r="F44" s="774"/>
      <c r="G44" s="23"/>
      <c r="H44" s="162"/>
      <c r="I44" s="9"/>
      <c r="J44" s="663"/>
      <c r="K44" s="656"/>
      <c r="L44" s="657"/>
      <c r="M44" s="658"/>
      <c r="N44" s="24"/>
      <c r="O44" s="996" t="s">
        <v>267</v>
      </c>
      <c r="P44" s="997"/>
      <c r="Q44" s="37" t="b">
        <v>0</v>
      </c>
      <c r="R44" s="22"/>
      <c r="S44" s="921"/>
      <c r="T44" s="645"/>
      <c r="U44" s="645"/>
      <c r="V44" s="646"/>
      <c r="W44" s="23"/>
      <c r="X44" s="162"/>
      <c r="Y44" s="27"/>
      <c r="Z44" s="921"/>
      <c r="AA44" s="645"/>
      <c r="AB44" s="645"/>
      <c r="AC44" s="646"/>
      <c r="AD44" s="23"/>
      <c r="AE44" s="96"/>
      <c r="AF44" s="117">
        <f t="shared" si="5"/>
        <v>0</v>
      </c>
      <c r="AG44" s="116"/>
      <c r="AH44" s="734"/>
    </row>
    <row r="45" spans="2:34" ht="22.5" customHeight="1">
      <c r="B45" s="27"/>
      <c r="C45" s="772"/>
      <c r="D45" s="773"/>
      <c r="E45" s="773"/>
      <c r="F45" s="774"/>
      <c r="G45" s="23"/>
      <c r="H45" s="162"/>
      <c r="I45" s="9"/>
      <c r="J45" s="663"/>
      <c r="K45" s="656"/>
      <c r="L45" s="657"/>
      <c r="M45" s="658"/>
      <c r="N45" s="24"/>
      <c r="O45" s="996" t="s">
        <v>268</v>
      </c>
      <c r="P45" s="997"/>
      <c r="Q45" s="37" t="b">
        <v>0</v>
      </c>
      <c r="R45" s="22"/>
      <c r="S45" s="921"/>
      <c r="T45" s="645"/>
      <c r="U45" s="645"/>
      <c r="V45" s="646"/>
      <c r="W45" s="23"/>
      <c r="X45" s="162"/>
      <c r="Y45" s="27"/>
      <c r="Z45" s="921"/>
      <c r="AA45" s="645"/>
      <c r="AB45" s="645"/>
      <c r="AC45" s="646"/>
      <c r="AD45" s="23"/>
      <c r="AE45" s="96"/>
      <c r="AF45" s="117">
        <f t="shared" si="5"/>
        <v>0</v>
      </c>
      <c r="AG45" s="116"/>
      <c r="AH45" s="734"/>
    </row>
    <row r="46" spans="2:34" ht="22.5" customHeight="1">
      <c r="B46" s="27"/>
      <c r="C46" s="772"/>
      <c r="D46" s="773"/>
      <c r="E46" s="773"/>
      <c r="F46" s="774"/>
      <c r="G46" s="23"/>
      <c r="H46" s="162"/>
      <c r="I46" s="9"/>
      <c r="J46" s="663"/>
      <c r="K46" s="656"/>
      <c r="L46" s="657"/>
      <c r="M46" s="658"/>
      <c r="N46" s="24"/>
      <c r="O46" s="996" t="s">
        <v>269</v>
      </c>
      <c r="P46" s="997"/>
      <c r="Q46" s="37" t="b">
        <v>0</v>
      </c>
      <c r="R46" s="22"/>
      <c r="S46" s="921"/>
      <c r="T46" s="645"/>
      <c r="U46" s="645"/>
      <c r="V46" s="646"/>
      <c r="W46" s="23"/>
      <c r="X46" s="162"/>
      <c r="Y46" s="27"/>
      <c r="Z46" s="921"/>
      <c r="AA46" s="645"/>
      <c r="AB46" s="645"/>
      <c r="AC46" s="646"/>
      <c r="AD46" s="23"/>
      <c r="AE46" s="96"/>
      <c r="AF46" s="106">
        <f t="shared" si="5"/>
        <v>0</v>
      </c>
      <c r="AG46" s="107"/>
      <c r="AH46" s="735"/>
    </row>
    <row r="47" spans="2:34" ht="22.5" customHeight="1">
      <c r="B47" s="27"/>
      <c r="C47" s="775"/>
      <c r="D47" s="776"/>
      <c r="E47" s="776"/>
      <c r="F47" s="777"/>
      <c r="G47" s="23"/>
      <c r="H47" s="162"/>
      <c r="I47" s="9"/>
      <c r="J47" s="664"/>
      <c r="K47" s="659"/>
      <c r="L47" s="660"/>
      <c r="M47" s="661"/>
      <c r="N47" s="24"/>
      <c r="O47" s="960" t="s">
        <v>1056</v>
      </c>
      <c r="P47" s="962"/>
      <c r="Q47" s="506" t="b">
        <v>0</v>
      </c>
      <c r="R47" s="22"/>
      <c r="S47" s="922"/>
      <c r="T47" s="648"/>
      <c r="U47" s="648"/>
      <c r="V47" s="649"/>
      <c r="W47" s="23"/>
      <c r="X47" s="162"/>
      <c r="Y47" s="27"/>
      <c r="Z47" s="921"/>
      <c r="AA47" s="645"/>
      <c r="AB47" s="645"/>
      <c r="AC47" s="646"/>
      <c r="AD47" s="23"/>
      <c r="AE47" s="96"/>
      <c r="AF47" s="106">
        <f t="shared" si="5"/>
        <v>0</v>
      </c>
      <c r="AG47" s="98"/>
      <c r="AH47" s="98"/>
    </row>
    <row r="48" spans="2:34" ht="18" thickBot="1">
      <c r="B48" s="9"/>
      <c r="C48" s="10"/>
      <c r="D48" s="10"/>
      <c r="E48" s="10"/>
      <c r="F48" s="10"/>
      <c r="G48" s="12"/>
      <c r="H48" s="165"/>
      <c r="I48" s="9"/>
      <c r="J48" s="65"/>
      <c r="K48" s="216"/>
      <c r="L48" s="216"/>
      <c r="M48" s="216"/>
      <c r="N48" s="10"/>
      <c r="O48" s="201"/>
      <c r="P48" s="201"/>
      <c r="Q48" s="18"/>
      <c r="R48" s="10"/>
      <c r="S48" s="10"/>
      <c r="T48" s="10"/>
      <c r="U48" s="10"/>
      <c r="V48" s="10"/>
      <c r="W48" s="12"/>
      <c r="X48" s="165"/>
      <c r="Y48" s="9"/>
      <c r="Z48" s="921"/>
      <c r="AA48" s="645"/>
      <c r="AB48" s="645"/>
      <c r="AC48" s="646"/>
      <c r="AD48" s="12"/>
      <c r="AF48" s="135">
        <f>SUM(AF42:AF46)</f>
        <v>0</v>
      </c>
      <c r="AG48" s="135">
        <f>SUM(AG42:AG47)</f>
        <v>0</v>
      </c>
      <c r="AH48" s="135"/>
    </row>
    <row r="49" spans="2:30" ht="21.6" thickTop="1">
      <c r="B49" s="9"/>
      <c r="C49" s="10"/>
      <c r="D49" s="10"/>
      <c r="E49" s="10"/>
      <c r="F49" s="10"/>
      <c r="G49" s="12"/>
      <c r="H49" s="165"/>
      <c r="I49" s="9"/>
      <c r="J49" s="998" t="s">
        <v>270</v>
      </c>
      <c r="K49" s="999"/>
      <c r="L49" s="999"/>
      <c r="M49" s="999"/>
      <c r="N49" s="999"/>
      <c r="O49" s="999"/>
      <c r="P49" s="999"/>
      <c r="Q49" s="1000"/>
      <c r="R49" s="79"/>
      <c r="S49" s="993" t="str">
        <f>ROUND(AH42+AH34+AH27+AH7,0) &amp; "/5"</f>
        <v>0/5</v>
      </c>
      <c r="T49" s="994"/>
      <c r="U49" s="994"/>
      <c r="V49" s="995"/>
      <c r="W49" s="80"/>
      <c r="X49" s="165"/>
      <c r="Y49" s="9"/>
      <c r="Z49" s="922"/>
      <c r="AA49" s="648"/>
      <c r="AB49" s="648"/>
      <c r="AC49" s="649"/>
      <c r="AD49" s="12"/>
    </row>
    <row r="50" spans="2:30" ht="18" thickBot="1">
      <c r="B50" s="14"/>
      <c r="C50" s="15"/>
      <c r="D50" s="15"/>
      <c r="E50" s="15"/>
      <c r="F50" s="15"/>
      <c r="G50" s="16"/>
      <c r="H50" s="165"/>
      <c r="I50" s="14"/>
      <c r="J50" s="67"/>
      <c r="K50" s="217"/>
      <c r="L50" s="217"/>
      <c r="M50" s="217"/>
      <c r="N50" s="15"/>
      <c r="O50" s="205"/>
      <c r="P50" s="205"/>
      <c r="Q50" s="63"/>
      <c r="R50" s="15"/>
      <c r="S50" s="15"/>
      <c r="T50" s="15"/>
      <c r="U50" s="15"/>
      <c r="V50" s="15"/>
      <c r="W50" s="16"/>
      <c r="X50" s="165"/>
      <c r="Y50" s="14"/>
      <c r="Z50" s="15"/>
      <c r="AA50" s="15"/>
      <c r="AB50" s="15"/>
      <c r="AC50" s="15"/>
      <c r="AD50" s="16"/>
    </row>
  </sheetData>
  <mergeCells count="67">
    <mergeCell ref="C7:F23"/>
    <mergeCell ref="C27:F38"/>
    <mergeCell ref="C42:F47"/>
    <mergeCell ref="O36:P36"/>
    <mergeCell ref="K20:M23"/>
    <mergeCell ref="J20:J23"/>
    <mergeCell ref="O37:P37"/>
    <mergeCell ref="O38:P38"/>
    <mergeCell ref="S42:V47"/>
    <mergeCell ref="S49:V49"/>
    <mergeCell ref="O43:P43"/>
    <mergeCell ref="O44:P44"/>
    <mergeCell ref="O45:P45"/>
    <mergeCell ref="O46:P46"/>
    <mergeCell ref="J49:Q49"/>
    <mergeCell ref="O42:P42"/>
    <mergeCell ref="J42:J47"/>
    <mergeCell ref="K42:M47"/>
    <mergeCell ref="O47:P47"/>
    <mergeCell ref="AM5:AM6"/>
    <mergeCell ref="AH7:AH22"/>
    <mergeCell ref="Z13:AC18"/>
    <mergeCell ref="O14:P14"/>
    <mergeCell ref="O15:P15"/>
    <mergeCell ref="O13:P13"/>
    <mergeCell ref="S13:V18"/>
    <mergeCell ref="Z20:AC23"/>
    <mergeCell ref="S20:V23"/>
    <mergeCell ref="O20:P20"/>
    <mergeCell ref="O21:P21"/>
    <mergeCell ref="O22:P22"/>
    <mergeCell ref="O23:P23"/>
    <mergeCell ref="O16:P16"/>
    <mergeCell ref="O17:P17"/>
    <mergeCell ref="O18:P18"/>
    <mergeCell ref="B2:G3"/>
    <mergeCell ref="AH27:AH30"/>
    <mergeCell ref="AH34:AH38"/>
    <mergeCell ref="I2:W3"/>
    <mergeCell ref="Y2:AD3"/>
    <mergeCell ref="J7:J11"/>
    <mergeCell ref="K7:M11"/>
    <mergeCell ref="S7:V11"/>
    <mergeCell ref="Z7:AC11"/>
    <mergeCell ref="O7:P7"/>
    <mergeCell ref="O8:P8"/>
    <mergeCell ref="O9:P9"/>
    <mergeCell ref="O10:P10"/>
    <mergeCell ref="O11:P11"/>
    <mergeCell ref="J13:J18"/>
    <mergeCell ref="K13:M18"/>
    <mergeCell ref="Z42:AC49"/>
    <mergeCell ref="AH42:AH46"/>
    <mergeCell ref="J27:J30"/>
    <mergeCell ref="K27:M30"/>
    <mergeCell ref="O27:P27"/>
    <mergeCell ref="S27:V30"/>
    <mergeCell ref="Z27:AC30"/>
    <mergeCell ref="O28:P28"/>
    <mergeCell ref="O29:P29"/>
    <mergeCell ref="J34:J38"/>
    <mergeCell ref="K34:M38"/>
    <mergeCell ref="O34:P34"/>
    <mergeCell ref="S34:V38"/>
    <mergeCell ref="O30:P30"/>
    <mergeCell ref="Z34:AC38"/>
    <mergeCell ref="O35:P35"/>
  </mergeCells>
  <conditionalFormatting sqref="O7 Q7 O9:O11 Q9:Q11">
    <cfRule type="expression" dxfId="41" priority="36">
      <formula>$Q$8</formula>
    </cfRule>
  </conditionalFormatting>
  <conditionalFormatting sqref="O7:O8 Q7:Q8 O10:O11 Q10:Q11">
    <cfRule type="expression" dxfId="40" priority="35">
      <formula>$Q$9</formula>
    </cfRule>
  </conditionalFormatting>
  <conditionalFormatting sqref="O7:O9 Q7:Q9 O11 Q11">
    <cfRule type="expression" dxfId="39" priority="34">
      <formula>$Q$10</formula>
    </cfRule>
  </conditionalFormatting>
  <conditionalFormatting sqref="O7:O10 Q7:Q10">
    <cfRule type="expression" dxfId="38" priority="33">
      <formula>$Q$11</formula>
    </cfRule>
  </conditionalFormatting>
  <conditionalFormatting sqref="O8:O11 Q8:Q11">
    <cfRule type="expression" dxfId="37" priority="37">
      <formula>$Q$7</formula>
    </cfRule>
  </conditionalFormatting>
  <conditionalFormatting sqref="O13 Q13 O15:O18 Q15:Q18">
    <cfRule type="expression" dxfId="36" priority="31">
      <formula>$Q$14</formula>
    </cfRule>
  </conditionalFormatting>
  <conditionalFormatting sqref="O13:O14 Q13:Q14 O16:O18 Q16:Q18">
    <cfRule type="expression" dxfId="35" priority="30">
      <formula>$Q$15</formula>
    </cfRule>
  </conditionalFormatting>
  <conditionalFormatting sqref="O13:O15 Q13:Q15 O17:O18 Q17:Q18">
    <cfRule type="expression" dxfId="34" priority="29">
      <formula>$Q$16</formula>
    </cfRule>
  </conditionalFormatting>
  <conditionalFormatting sqref="O13:O16 Q13:Q16 O18 Q18">
    <cfRule type="expression" dxfId="33" priority="28">
      <formula>$Q$17</formula>
    </cfRule>
  </conditionalFormatting>
  <conditionalFormatting sqref="O13:O17 Q13:Q17">
    <cfRule type="expression" dxfId="32" priority="27">
      <formula>$Q$18</formula>
    </cfRule>
  </conditionalFormatting>
  <conditionalFormatting sqref="O14:O18 Q14:Q18">
    <cfRule type="expression" dxfId="31" priority="32">
      <formula>$Q$13</formula>
    </cfRule>
  </conditionalFormatting>
  <conditionalFormatting sqref="O27 Q27 O29:O30 Q29:Q30">
    <cfRule type="expression" dxfId="30" priority="23">
      <formula>$Q$28</formula>
    </cfRule>
  </conditionalFormatting>
  <conditionalFormatting sqref="O27:O28 Q27:Q28 O30 Q30">
    <cfRule type="expression" dxfId="29" priority="22">
      <formula>$Q$29</formula>
    </cfRule>
  </conditionalFormatting>
  <conditionalFormatting sqref="O27:O29 Q27:Q29">
    <cfRule type="expression" dxfId="28" priority="21">
      <formula>$Q$30</formula>
    </cfRule>
  </conditionalFormatting>
  <conditionalFormatting sqref="O28:O30 Q28:Q30">
    <cfRule type="expression" dxfId="27" priority="24">
      <formula>$Q$27</formula>
    </cfRule>
  </conditionalFormatting>
  <conditionalFormatting sqref="O34 Q34 O36:O38 Q36:Q38">
    <cfRule type="expression" dxfId="26" priority="19">
      <formula>$Q$35</formula>
    </cfRule>
  </conditionalFormatting>
  <conditionalFormatting sqref="O34:O35 Q34:Q35 O37:O38 Q37:Q38">
    <cfRule type="expression" dxfId="25" priority="18">
      <formula>$Q$36</formula>
    </cfRule>
  </conditionalFormatting>
  <conditionalFormatting sqref="O34:O36 Q34:Q36 O38 Q38">
    <cfRule type="expression" dxfId="24" priority="17">
      <formula>$Q$37</formula>
    </cfRule>
  </conditionalFormatting>
  <conditionalFormatting sqref="O34:O37 Q34:Q37">
    <cfRule type="expression" dxfId="23" priority="16">
      <formula>$Q$38</formula>
    </cfRule>
  </conditionalFormatting>
  <conditionalFormatting sqref="O35:O38 Q35:Q38">
    <cfRule type="expression" dxfId="22" priority="20">
      <formula>$Q$34</formula>
    </cfRule>
  </conditionalFormatting>
  <conditionalFormatting sqref="O20:Q20 O22:Q23">
    <cfRule type="expression" dxfId="21" priority="3">
      <formula>$Q$21</formula>
    </cfRule>
  </conditionalFormatting>
  <conditionalFormatting sqref="O20:Q21 O23:Q23">
    <cfRule type="expression" dxfId="20" priority="2">
      <formula>$Q$22</formula>
    </cfRule>
  </conditionalFormatting>
  <conditionalFormatting sqref="O20:Q22">
    <cfRule type="expression" dxfId="19" priority="1">
      <formula>$Q$23</formula>
    </cfRule>
  </conditionalFormatting>
  <conditionalFormatting sqref="O21:Q23">
    <cfRule type="expression" dxfId="18" priority="4">
      <formula>$Q$20</formula>
    </cfRule>
  </conditionalFormatting>
  <conditionalFormatting sqref="O42:Q42 O44:Q46">
    <cfRule type="expression" dxfId="17" priority="14">
      <formula>$Q$43</formula>
    </cfRule>
  </conditionalFormatting>
  <conditionalFormatting sqref="O42:Q43 O45:Q46">
    <cfRule type="expression" dxfId="16" priority="13">
      <formula>$Q$44</formula>
    </cfRule>
  </conditionalFormatting>
  <conditionalFormatting sqref="O42:Q44 O46:Q46">
    <cfRule type="expression" dxfId="15" priority="12">
      <formula>$Q$45</formula>
    </cfRule>
  </conditionalFormatting>
  <conditionalFormatting sqref="O42:Q45">
    <cfRule type="expression" dxfId="14" priority="11">
      <formula>$Q$46</formula>
    </cfRule>
  </conditionalFormatting>
  <conditionalFormatting sqref="O43:Q46">
    <cfRule type="expression" dxfId="13" priority="15">
      <formula>$Q$42</formula>
    </cfRule>
  </conditionalFormatting>
  <conditionalFormatting sqref="Z42">
    <cfRule type="expression" dxfId="12" priority="5">
      <formula>$Q$46</formula>
    </cfRule>
  </conditionalFormatting>
  <conditionalFormatting sqref="Z7:AC11">
    <cfRule type="expression" dxfId="11" priority="10">
      <formula>$Q$11</formula>
    </cfRule>
  </conditionalFormatting>
  <conditionalFormatting sqref="Z13:AC18">
    <cfRule type="expression" dxfId="10" priority="9">
      <formula>$Q$18</formula>
    </cfRule>
  </conditionalFormatting>
  <conditionalFormatting sqref="Z20:AC23">
    <cfRule type="expression" dxfId="9" priority="8">
      <formula>$Q$23</formula>
    </cfRule>
  </conditionalFormatting>
  <conditionalFormatting sqref="Z27:AC30">
    <cfRule type="expression" dxfId="8" priority="7">
      <formula>$Q$30</formula>
    </cfRule>
  </conditionalFormatting>
  <conditionalFormatting sqref="Z34:AC38">
    <cfRule type="expression" dxfId="7" priority="6">
      <formula>$Q$38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3F35-4C8C-4CB8-B96D-7035A2944E07}">
  <sheetPr codeName="Sheet16">
    <tabColor rgb="FFFFC000"/>
  </sheetPr>
  <dimension ref="A1:AI128"/>
  <sheetViews>
    <sheetView showGridLines="0" zoomScale="69" zoomScaleNormal="69" workbookViewId="0">
      <selection activeCell="J12" sqref="J12:N12"/>
    </sheetView>
  </sheetViews>
  <sheetFormatPr defaultColWidth="8.77734375" defaultRowHeight="15"/>
  <cols>
    <col min="1" max="1" width="3.6640625" style="91" customWidth="1"/>
    <col min="2" max="2" width="17.77734375" style="91" customWidth="1"/>
    <col min="3" max="7" width="16.77734375" style="91" customWidth="1"/>
    <col min="8" max="8" width="2.5546875" style="91" customWidth="1"/>
    <col min="9" max="9" width="2.33203125" style="91" customWidth="1"/>
    <col min="10" max="10" width="25.88671875" style="91" customWidth="1"/>
    <col min="11" max="14" width="24.109375" style="91" customWidth="1"/>
    <col min="15" max="16" width="15.33203125" style="91" customWidth="1"/>
    <col min="17" max="17" width="3" style="91" customWidth="1"/>
    <col min="18" max="18" width="12.44140625" style="91" customWidth="1"/>
    <col min="19" max="19" width="12.21875" style="91" customWidth="1"/>
    <col min="20" max="20" width="8.88671875" style="91" customWidth="1"/>
    <col min="21" max="21" width="9.33203125" style="91" customWidth="1"/>
    <col min="22" max="27" width="8.77734375" style="91"/>
    <col min="28" max="28" width="3.109375" style="91" customWidth="1"/>
    <col min="29" max="29" width="4.44140625" style="91" customWidth="1"/>
    <col min="30" max="30" width="70.6640625" style="91" bestFit="1" customWidth="1"/>
    <col min="31" max="31" width="4.88671875" style="91" bestFit="1" customWidth="1"/>
    <col min="32" max="32" width="2.44140625" style="91" customWidth="1"/>
    <col min="33" max="33" width="6" style="91" customWidth="1"/>
    <col min="34" max="34" width="70.6640625" style="91" customWidth="1"/>
    <col min="35" max="35" width="6.6640625" style="91" bestFit="1" customWidth="1"/>
    <col min="36" max="16384" width="8.77734375" style="91"/>
  </cols>
  <sheetData>
    <row r="1" spans="1:35" s="7" customFormat="1" ht="76.5" customHeight="1" thickBot="1">
      <c r="A1" s="1051" t="s">
        <v>230</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2"/>
    </row>
    <row r="2" spans="1:35">
      <c r="A2" s="143"/>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306"/>
      <c r="AD2" s="382" t="str">
        <f>MilestoneGraphs_Calc!F15</f>
        <v xml:space="preserve">Milestone 1: Establish Greenhouse Gas Inventory and Scope of Work </v>
      </c>
      <c r="AE2" s="383">
        <f>MilestoneGraphs_Calc!G15</f>
        <v>18</v>
      </c>
      <c r="AF2" s="384">
        <f>MilestoneGraphs_Calc!H15</f>
        <v>0</v>
      </c>
      <c r="AH2" s="382" t="str">
        <f t="shared" ref="AH2:AH8" si="0">AD2</f>
        <v xml:space="preserve">Milestone 1: Establish Greenhouse Gas Inventory and Scope of Work </v>
      </c>
      <c r="AI2" s="389" t="str">
        <f t="shared" ref="AI2:AI8" si="1">ROUND(AF2,0) &amp; "/" &amp; AE2</f>
        <v>0/18</v>
      </c>
    </row>
    <row r="3" spans="1:35" ht="19.5" customHeight="1">
      <c r="A3" s="9"/>
      <c r="B3" s="1038" t="s">
        <v>1179</v>
      </c>
      <c r="C3" s="1039"/>
      <c r="D3" s="1039"/>
      <c r="E3" s="1039"/>
      <c r="F3" s="1039"/>
      <c r="G3" s="1039"/>
      <c r="H3" s="1039"/>
      <c r="I3" s="1039"/>
      <c r="J3" s="1039"/>
      <c r="K3" s="1039"/>
      <c r="L3" s="1039"/>
      <c r="M3" s="1039"/>
      <c r="N3" s="1040"/>
      <c r="O3" s="334"/>
      <c r="P3" s="10"/>
      <c r="Q3" s="321"/>
      <c r="R3" s="10"/>
      <c r="S3" s="10"/>
      <c r="T3" s="10"/>
      <c r="U3" s="10"/>
      <c r="V3" s="10"/>
      <c r="W3" s="10"/>
      <c r="X3" s="10"/>
      <c r="Y3" s="10"/>
      <c r="Z3" s="10"/>
      <c r="AA3" s="10"/>
      <c r="AB3" s="12"/>
      <c r="AD3" s="188" t="str">
        <f>MilestoneGraphs_Calc!F17</f>
        <v>Milestone 2: Categorize Portfolio</v>
      </c>
      <c r="AE3" s="99">
        <f>MilestoneGraphs_Calc!G17</f>
        <v>15</v>
      </c>
      <c r="AF3" s="385">
        <f>MilestoneGraphs_Calc!H17</f>
        <v>0</v>
      </c>
      <c r="AH3" s="188" t="str">
        <f t="shared" si="0"/>
        <v>Milestone 2: Categorize Portfolio</v>
      </c>
      <c r="AI3" s="187" t="str">
        <f t="shared" si="1"/>
        <v>0/15</v>
      </c>
    </row>
    <row r="4" spans="1:35" ht="19.5" customHeight="1">
      <c r="A4" s="9"/>
      <c r="B4" s="1041"/>
      <c r="C4" s="1042"/>
      <c r="D4" s="1042"/>
      <c r="E4" s="1042"/>
      <c r="F4" s="1042"/>
      <c r="G4" s="1042"/>
      <c r="H4" s="1042"/>
      <c r="I4" s="1042"/>
      <c r="J4" s="1042"/>
      <c r="K4" s="1042"/>
      <c r="L4" s="1042"/>
      <c r="M4" s="1042"/>
      <c r="N4" s="1043"/>
      <c r="O4" s="334"/>
      <c r="P4" s="10"/>
      <c r="Q4" s="321"/>
      <c r="R4" s="10"/>
      <c r="S4" s="10"/>
      <c r="T4" s="10"/>
      <c r="U4" s="10"/>
      <c r="V4" s="10"/>
      <c r="W4" s="10"/>
      <c r="X4" s="10"/>
      <c r="Y4" s="10"/>
      <c r="Z4" s="10"/>
      <c r="AA4" s="10"/>
      <c r="AB4" s="12"/>
      <c r="AD4" s="188" t="str">
        <f>MilestoneGraphs_Calc!F19</f>
        <v>Milestone 3: Assess Measures</v>
      </c>
      <c r="AE4" s="99">
        <f>MilestoneGraphs_Calc!G19</f>
        <v>25</v>
      </c>
      <c r="AF4" s="385">
        <f>MilestoneGraphs_Calc!H19</f>
        <v>0</v>
      </c>
      <c r="AH4" s="188" t="str">
        <f t="shared" si="0"/>
        <v>Milestone 3: Assess Measures</v>
      </c>
      <c r="AI4" s="187" t="str">
        <f t="shared" si="1"/>
        <v>0/25</v>
      </c>
    </row>
    <row r="5" spans="1:35" ht="19.5" customHeight="1">
      <c r="A5" s="9"/>
      <c r="B5" s="1041"/>
      <c r="C5" s="1042"/>
      <c r="D5" s="1042"/>
      <c r="E5" s="1042"/>
      <c r="F5" s="1042"/>
      <c r="G5" s="1042"/>
      <c r="H5" s="1042"/>
      <c r="I5" s="1042"/>
      <c r="J5" s="1042"/>
      <c r="K5" s="1042"/>
      <c r="L5" s="1042"/>
      <c r="M5" s="1042"/>
      <c r="N5" s="1043"/>
      <c r="O5" s="334"/>
      <c r="P5" s="10"/>
      <c r="Q5" s="321"/>
      <c r="R5" s="10"/>
      <c r="S5" s="10"/>
      <c r="T5" s="10"/>
      <c r="U5" s="10"/>
      <c r="V5" s="10"/>
      <c r="W5" s="10"/>
      <c r="X5" s="10"/>
      <c r="Y5" s="10"/>
      <c r="Z5" s="10"/>
      <c r="AA5" s="10"/>
      <c r="AB5" s="12"/>
      <c r="AD5" s="188" t="str">
        <f>MilestoneGraphs_Calc!F21</f>
        <v>Milestone 4: Develop Scenarios</v>
      </c>
      <c r="AE5" s="99">
        <f>MilestoneGraphs_Calc!G21</f>
        <v>22</v>
      </c>
      <c r="AF5" s="385">
        <f>MilestoneGraphs_Calc!H21</f>
        <v>0</v>
      </c>
      <c r="AH5" s="188" t="str">
        <f t="shared" si="0"/>
        <v>Milestone 4: Develop Scenarios</v>
      </c>
      <c r="AI5" s="187" t="str">
        <f t="shared" si="1"/>
        <v>0/22</v>
      </c>
    </row>
    <row r="6" spans="1:35" ht="19.5" customHeight="1">
      <c r="A6" s="9"/>
      <c r="B6" s="1041"/>
      <c r="C6" s="1042"/>
      <c r="D6" s="1042"/>
      <c r="E6" s="1042"/>
      <c r="F6" s="1042"/>
      <c r="G6" s="1042"/>
      <c r="H6" s="1042"/>
      <c r="I6" s="1042"/>
      <c r="J6" s="1042"/>
      <c r="K6" s="1042"/>
      <c r="L6" s="1042"/>
      <c r="M6" s="1042"/>
      <c r="N6" s="1043"/>
      <c r="O6" s="334"/>
      <c r="P6" s="10"/>
      <c r="Q6" s="321"/>
      <c r="R6" s="10"/>
      <c r="S6" s="10"/>
      <c r="T6" s="10"/>
      <c r="U6" s="10"/>
      <c r="V6" s="10"/>
      <c r="W6" s="10"/>
      <c r="X6" s="10"/>
      <c r="Y6" s="10"/>
      <c r="Z6" s="10"/>
      <c r="AA6" s="10"/>
      <c r="AB6" s="12"/>
      <c r="AD6" s="188" t="str">
        <f>MilestoneGraphs_Calc!F23</f>
        <v>Milestone 5: Define Emissions Reduction Plan</v>
      </c>
      <c r="AE6" s="99">
        <f>MilestoneGraphs_Calc!G23</f>
        <v>15</v>
      </c>
      <c r="AF6" s="385">
        <f>MilestoneGraphs_Calc!H23</f>
        <v>0</v>
      </c>
      <c r="AH6" s="188" t="str">
        <f t="shared" si="0"/>
        <v>Milestone 5: Define Emissions Reduction Plan</v>
      </c>
      <c r="AI6" s="187" t="str">
        <f t="shared" si="1"/>
        <v>0/15</v>
      </c>
    </row>
    <row r="7" spans="1:35" ht="19.5" customHeight="1">
      <c r="A7" s="9"/>
      <c r="B7" s="1041"/>
      <c r="C7" s="1042"/>
      <c r="D7" s="1042"/>
      <c r="E7" s="1042"/>
      <c r="F7" s="1042"/>
      <c r="G7" s="1042"/>
      <c r="H7" s="1042"/>
      <c r="I7" s="1042"/>
      <c r="J7" s="1042"/>
      <c r="K7" s="1042"/>
      <c r="L7" s="1042"/>
      <c r="M7" s="1042"/>
      <c r="N7" s="1043"/>
      <c r="O7" s="334"/>
      <c r="P7" s="10"/>
      <c r="Q7" s="321"/>
      <c r="R7" s="10"/>
      <c r="S7" s="10"/>
      <c r="T7" s="10"/>
      <c r="U7" s="10"/>
      <c r="V7" s="10"/>
      <c r="W7" s="10"/>
      <c r="X7" s="10"/>
      <c r="Y7" s="10"/>
      <c r="Z7" s="10"/>
      <c r="AA7" s="10"/>
      <c r="AB7" s="12"/>
      <c r="AD7" s="386" t="str">
        <f>MilestoneGraphs_Calc!F25</f>
        <v xml:space="preserve">Milestone 6: Ongoing Implementation </v>
      </c>
      <c r="AE7" s="387">
        <f>MilestoneGraphs_Calc!G25</f>
        <v>5</v>
      </c>
      <c r="AF7" s="388">
        <f>MilestoneGraphs_Calc!H25</f>
        <v>0</v>
      </c>
      <c r="AH7" s="188" t="str">
        <f t="shared" si="0"/>
        <v xml:space="preserve">Milestone 6: Ongoing Implementation </v>
      </c>
      <c r="AI7" s="187" t="str">
        <f t="shared" si="1"/>
        <v>0/5</v>
      </c>
    </row>
    <row r="8" spans="1:35" ht="19.5" customHeight="1" thickBot="1">
      <c r="A8" s="9"/>
      <c r="B8" s="1044"/>
      <c r="C8" s="1045"/>
      <c r="D8" s="1045"/>
      <c r="E8" s="1045"/>
      <c r="F8" s="1045"/>
      <c r="G8" s="1045"/>
      <c r="H8" s="1045"/>
      <c r="I8" s="1045"/>
      <c r="J8" s="1045"/>
      <c r="K8" s="1045"/>
      <c r="L8" s="1045"/>
      <c r="M8" s="1045"/>
      <c r="N8" s="1046"/>
      <c r="O8" s="334"/>
      <c r="P8" s="10"/>
      <c r="Q8" s="321"/>
      <c r="R8" s="10"/>
      <c r="S8" s="10"/>
      <c r="T8" s="10"/>
      <c r="U8" s="10"/>
      <c r="V8" s="10"/>
      <c r="W8" s="10"/>
      <c r="X8" s="10"/>
      <c r="Y8" s="10"/>
      <c r="Z8" s="10"/>
      <c r="AA8" s="10"/>
      <c r="AB8" s="12"/>
      <c r="AD8" s="390" t="str">
        <f>MilestoneGraphs_Calc!F27</f>
        <v>ERP total</v>
      </c>
      <c r="AE8" s="390">
        <f>MilestoneGraphs_Calc!G28</f>
        <v>100</v>
      </c>
      <c r="AF8" s="391">
        <f>MilestoneGraphs_Calc!G27</f>
        <v>0</v>
      </c>
      <c r="AH8" s="390" t="str">
        <f t="shared" si="0"/>
        <v>ERP total</v>
      </c>
      <c r="AI8" s="390" t="str">
        <f t="shared" si="1"/>
        <v>0/100</v>
      </c>
    </row>
    <row r="9" spans="1:35" ht="19.5" customHeight="1" thickTop="1">
      <c r="A9" s="9"/>
      <c r="B9" s="401"/>
      <c r="C9" s="401"/>
      <c r="D9" s="401"/>
      <c r="E9" s="401"/>
      <c r="F9" s="401"/>
      <c r="G9" s="401"/>
      <c r="H9" s="401"/>
      <c r="I9" s="401"/>
      <c r="J9" s="401"/>
      <c r="K9" s="401"/>
      <c r="L9" s="401"/>
      <c r="M9" s="401"/>
      <c r="N9" s="401"/>
      <c r="O9" s="334"/>
      <c r="P9" s="10"/>
      <c r="Q9" s="321"/>
      <c r="R9" s="10"/>
      <c r="S9" s="10"/>
      <c r="T9" s="10"/>
      <c r="U9" s="10"/>
      <c r="V9" s="10"/>
      <c r="W9" s="10"/>
      <c r="X9" s="10"/>
      <c r="Y9" s="10"/>
      <c r="Z9" s="10"/>
      <c r="AA9" s="10"/>
      <c r="AB9" s="12"/>
      <c r="AF9" s="99"/>
    </row>
    <row r="10" spans="1:35" ht="16.05" customHeight="1">
      <c r="A10" s="9"/>
      <c r="B10" s="1056" t="s">
        <v>809</v>
      </c>
      <c r="C10" s="1048" t="s">
        <v>802</v>
      </c>
      <c r="D10" s="1049"/>
      <c r="E10" s="1049"/>
      <c r="F10" s="1049"/>
      <c r="G10" s="1049"/>
      <c r="H10" s="1049"/>
      <c r="I10" s="1050"/>
      <c r="J10" s="1054" t="s">
        <v>1064</v>
      </c>
      <c r="K10" s="1054"/>
      <c r="L10" s="1054"/>
      <c r="M10" s="1054"/>
      <c r="N10" s="1055"/>
      <c r="O10" s="324"/>
      <c r="P10" s="10"/>
      <c r="Q10" s="10"/>
      <c r="R10" s="10"/>
      <c r="S10" s="10"/>
      <c r="T10" s="10"/>
      <c r="U10" s="10"/>
      <c r="V10" s="10"/>
      <c r="W10" s="10"/>
      <c r="X10" s="10"/>
      <c r="Y10" s="10"/>
      <c r="Z10" s="10"/>
      <c r="AA10" s="10"/>
      <c r="AB10" s="12"/>
      <c r="AF10" s="99"/>
    </row>
    <row r="11" spans="1:35">
      <c r="A11" s="9"/>
      <c r="B11" s="1057"/>
      <c r="C11" s="1015" t="s">
        <v>812</v>
      </c>
      <c r="D11" s="1016"/>
      <c r="E11" s="1016"/>
      <c r="F11" s="1016"/>
      <c r="G11" s="1016"/>
      <c r="H11" s="1016"/>
      <c r="I11" s="1017"/>
      <c r="J11" s="1018" t="s">
        <v>811</v>
      </c>
      <c r="K11" s="1018"/>
      <c r="L11" s="1018"/>
      <c r="M11" s="1018"/>
      <c r="N11" s="1019"/>
      <c r="O11" s="340"/>
      <c r="P11" s="10"/>
      <c r="Q11" s="10"/>
      <c r="R11" s="10"/>
      <c r="S11" s="10"/>
      <c r="T11" s="10"/>
      <c r="U11" s="10"/>
      <c r="V11" s="10"/>
      <c r="W11" s="10"/>
      <c r="X11" s="10"/>
      <c r="Y11" s="10"/>
      <c r="Z11" s="10"/>
      <c r="AA11" s="10"/>
      <c r="AB11" s="12"/>
      <c r="AF11" s="99"/>
    </row>
    <row r="12" spans="1:35" ht="158.55000000000001" customHeight="1">
      <c r="A12" s="9"/>
      <c r="B12" s="435" t="s">
        <v>527</v>
      </c>
      <c r="C12" s="1012" t="str">
        <f>IF(AE12=0, "FILL OUT MILESTONE 1 QUESTIONNAIRE",Milestone_Results_Summary!K7)</f>
        <v>FILL OUT MILESTONE 1 QUESTIONNAIRE</v>
      </c>
      <c r="D12" s="1013"/>
      <c r="E12" s="1013"/>
      <c r="F12" s="1013"/>
      <c r="G12" s="1013"/>
      <c r="H12" s="1013"/>
      <c r="I12" s="1014"/>
      <c r="J12" s="1005" t="str">
        <f>IF(AE12=0, "FILL OUT MILESTONE 1 QUESTIONNAIRE", Milestone_Results_Summary!L7)</f>
        <v>FILL OUT MILESTONE 1 QUESTIONNAIRE</v>
      </c>
      <c r="K12" s="1006"/>
      <c r="L12" s="1006"/>
      <c r="M12" s="1006"/>
      <c r="N12" s="1007"/>
      <c r="O12" s="340"/>
      <c r="P12" s="10"/>
      <c r="Q12" s="10"/>
      <c r="R12" s="10"/>
      <c r="S12" s="10"/>
      <c r="T12" s="10"/>
      <c r="U12" s="10"/>
      <c r="V12" s="10"/>
      <c r="W12" s="10"/>
      <c r="X12" s="10"/>
      <c r="Y12" s="10"/>
      <c r="Z12" s="10"/>
      <c r="AA12" s="10"/>
      <c r="AB12" s="12"/>
      <c r="AD12" s="438" t="s">
        <v>527</v>
      </c>
      <c r="AE12" s="179">
        <f>IF(SUM(Milestone_1!AH9:AH130)=0,0,1)</f>
        <v>0</v>
      </c>
      <c r="AF12" s="99"/>
    </row>
    <row r="13" spans="1:35" ht="111" customHeight="1">
      <c r="A13" s="9"/>
      <c r="B13" s="435" t="s">
        <v>530</v>
      </c>
      <c r="C13" s="1012" t="str">
        <f>IF(AE13=0,"FILL OUT MILESTONE 2 QUESTIONNAIRE",Milestone_Results_Summary!K13)</f>
        <v>FILL OUT MILESTONE 2 QUESTIONNAIRE</v>
      </c>
      <c r="D13" s="1013"/>
      <c r="E13" s="1013"/>
      <c r="F13" s="1013"/>
      <c r="G13" s="1013"/>
      <c r="H13" s="1013"/>
      <c r="I13" s="1014"/>
      <c r="J13" s="1005" t="str">
        <f>IF(AE13=0,"FILL OUT MILESTONE 2 QUESTIONNAIRE",Milestone_Results_Summary!L13)</f>
        <v>FILL OUT MILESTONE 2 QUESTIONNAIRE</v>
      </c>
      <c r="K13" s="1006"/>
      <c r="L13" s="1006"/>
      <c r="M13" s="1006"/>
      <c r="N13" s="1007"/>
      <c r="O13" s="340"/>
      <c r="P13" s="10"/>
      <c r="Q13" s="10"/>
      <c r="R13" s="10"/>
      <c r="S13" s="10"/>
      <c r="T13" s="10"/>
      <c r="U13" s="10"/>
      <c r="V13" s="10"/>
      <c r="W13" s="10"/>
      <c r="X13" s="10"/>
      <c r="Y13" s="10"/>
      <c r="Z13" s="10"/>
      <c r="AA13" s="10"/>
      <c r="AB13" s="12"/>
      <c r="AD13" s="438" t="s">
        <v>530</v>
      </c>
      <c r="AE13" s="179">
        <f>IF(SUM(Milestone_2!AE7:AE50)=0,0,1)</f>
        <v>0</v>
      </c>
      <c r="AF13" s="99"/>
    </row>
    <row r="14" spans="1:35" ht="240" customHeight="1">
      <c r="A14" s="9"/>
      <c r="B14" s="435" t="s">
        <v>532</v>
      </c>
      <c r="C14" s="1012" t="str">
        <f>IF(AE14=0,"FILL OUT MILESTONE 3 QUESTIONNAIRE",Milestone_Results_Summary!K17)</f>
        <v>FILL OUT MILESTONE 3 QUESTIONNAIRE</v>
      </c>
      <c r="D14" s="1013"/>
      <c r="E14" s="1013"/>
      <c r="F14" s="1013"/>
      <c r="G14" s="1013"/>
      <c r="H14" s="1013"/>
      <c r="I14" s="1014"/>
      <c r="J14" s="1005" t="str">
        <f>IF(AE14=0,"FILL OUT MILESTONE 3 QUESTIONNAIRE",Milestone_Results_Summary!L17)</f>
        <v>FILL OUT MILESTONE 3 QUESTIONNAIRE</v>
      </c>
      <c r="K14" s="1006"/>
      <c r="L14" s="1006"/>
      <c r="M14" s="1006"/>
      <c r="N14" s="1007"/>
      <c r="O14" s="340"/>
      <c r="P14" s="10"/>
      <c r="Q14" s="10"/>
      <c r="R14" s="10"/>
      <c r="S14" s="10"/>
      <c r="T14" s="10"/>
      <c r="U14" s="10"/>
      <c r="V14" s="10"/>
      <c r="W14" s="10"/>
      <c r="X14" s="10"/>
      <c r="Y14" s="10"/>
      <c r="Z14" s="10"/>
      <c r="AA14" s="10"/>
      <c r="AB14" s="12"/>
      <c r="AD14" s="438" t="s">
        <v>532</v>
      </c>
      <c r="AE14" s="179">
        <f>IF(SUM(Milestone_3!AF7:AF123)=0,0,1)</f>
        <v>0</v>
      </c>
      <c r="AF14" s="99"/>
    </row>
    <row r="15" spans="1:35" ht="148.5" customHeight="1">
      <c r="A15" s="9"/>
      <c r="B15" s="435" t="s">
        <v>533</v>
      </c>
      <c r="C15" s="1012" t="str">
        <f>IF(AE15=0,"FILL OUT MILESTONE 4 QUESTIONNAIRE",Milestone_Results_Summary!K24)</f>
        <v>FILL OUT MILESTONE 4 QUESTIONNAIRE</v>
      </c>
      <c r="D15" s="1013"/>
      <c r="E15" s="1013"/>
      <c r="F15" s="1013"/>
      <c r="G15" s="1013"/>
      <c r="H15" s="1013"/>
      <c r="I15" s="1014"/>
      <c r="J15" s="1005" t="str">
        <f>IF(AE15=0,"FILL OUT MILESTONE 4 QUESTIONNAIRE",Milestone_Results_Summary!L24)</f>
        <v>FILL OUT MILESTONE 4 QUESTIONNAIRE</v>
      </c>
      <c r="K15" s="1006"/>
      <c r="L15" s="1006"/>
      <c r="M15" s="1006"/>
      <c r="N15" s="1007"/>
      <c r="O15" s="340"/>
      <c r="P15" s="10"/>
      <c r="Q15" s="10"/>
      <c r="R15" s="10"/>
      <c r="S15" s="10"/>
      <c r="T15" s="10"/>
      <c r="U15" s="10"/>
      <c r="V15" s="10"/>
      <c r="W15" s="10"/>
      <c r="X15" s="10"/>
      <c r="Y15" s="10"/>
      <c r="Z15" s="10"/>
      <c r="AA15" s="10"/>
      <c r="AB15" s="12"/>
      <c r="AD15" s="438" t="s">
        <v>533</v>
      </c>
      <c r="AE15" s="179">
        <f>IF(SUM(Milestone_4!AO8:AT11,Milestone_4!AO14:AT17,Milestone_4!AO19:AO97)=0,0,1)</f>
        <v>0</v>
      </c>
      <c r="AF15" s="99"/>
    </row>
    <row r="16" spans="1:35" ht="156" customHeight="1">
      <c r="A16" s="9"/>
      <c r="B16" s="435" t="s">
        <v>531</v>
      </c>
      <c r="C16" s="1012" t="str">
        <f>IF(AE16=0,"FILL OUT MILESTONE 5 QUESTIONNAIRE",Milestone_Results_Summary!K30)</f>
        <v>FILL OUT MILESTONE 5 QUESTIONNAIRE</v>
      </c>
      <c r="D16" s="1013"/>
      <c r="E16" s="1013"/>
      <c r="F16" s="1013"/>
      <c r="G16" s="1013"/>
      <c r="H16" s="1013"/>
      <c r="I16" s="1014"/>
      <c r="J16" s="1005" t="str">
        <f>IF(AE16=0,"FILL OUT MILESTONE 5 QUESTIONNAIRE",Milestone_Results_Summary!L30)</f>
        <v>FILL OUT MILESTONE 5 QUESTIONNAIRE</v>
      </c>
      <c r="K16" s="1006"/>
      <c r="L16" s="1006"/>
      <c r="M16" s="1006"/>
      <c r="N16" s="1007"/>
      <c r="O16" s="340"/>
      <c r="P16" s="10"/>
      <c r="Q16" s="10"/>
      <c r="R16" s="10"/>
      <c r="S16" s="10"/>
      <c r="T16" s="10"/>
      <c r="U16" s="10"/>
      <c r="V16" s="10"/>
      <c r="W16" s="10"/>
      <c r="X16" s="10"/>
      <c r="Y16" s="10"/>
      <c r="Z16" s="10"/>
      <c r="AA16" s="10"/>
      <c r="AB16" s="12"/>
      <c r="AD16" s="438" t="s">
        <v>531</v>
      </c>
      <c r="AE16" s="179">
        <f>IF(SUM(Milestone_5!AG7:AG119)=0,0,1)</f>
        <v>0</v>
      </c>
    </row>
    <row r="17" spans="1:31" ht="156.44999999999999" customHeight="1">
      <c r="A17" s="9"/>
      <c r="B17" s="345" t="s">
        <v>816</v>
      </c>
      <c r="C17" s="1012" t="str">
        <f>IF(AE17=0,"FILL OUT MILESTONE 6: ONGOING IMPLEMENTATION QUESTIONNAIRE",Milestone_Results_Summary!K36)</f>
        <v>FILL OUT MILESTONE 6: ONGOING IMPLEMENTATION QUESTIONNAIRE</v>
      </c>
      <c r="D17" s="1013"/>
      <c r="E17" s="1013"/>
      <c r="F17" s="1013"/>
      <c r="G17" s="1013"/>
      <c r="H17" s="1013"/>
      <c r="I17" s="1014"/>
      <c r="J17" s="1005" t="str">
        <f>IF(AE17=0,"FILL OUT MILESTONE 6: ONGOING IMPLEMENTATION QUESTIONNAIRE",Milestone_Results_Summary!L36)</f>
        <v>FILL OUT MILESTONE 6: ONGOING IMPLEMENTATION QUESTIONNAIRE</v>
      </c>
      <c r="K17" s="1006"/>
      <c r="L17" s="1006"/>
      <c r="M17" s="1006"/>
      <c r="N17" s="1007"/>
      <c r="O17" s="340"/>
      <c r="P17" s="10"/>
      <c r="Q17" s="10"/>
      <c r="R17" s="10"/>
      <c r="S17" s="10"/>
      <c r="T17" s="10"/>
      <c r="U17" s="10"/>
      <c r="V17" s="10"/>
      <c r="W17" s="10"/>
      <c r="X17" s="10"/>
      <c r="Y17" s="10"/>
      <c r="Z17" s="10"/>
      <c r="AA17" s="10"/>
      <c r="AB17" s="12"/>
      <c r="AD17" s="438" t="s">
        <v>810</v>
      </c>
      <c r="AE17" s="179">
        <f>IF(SUM(Ongoing_Implementation!AF7:AF48)=0,0,1)</f>
        <v>0</v>
      </c>
    </row>
    <row r="18" spans="1:31">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2"/>
    </row>
    <row r="19" spans="1:31" ht="15.6">
      <c r="A19" s="9"/>
      <c r="B19" s="436" t="s">
        <v>639</v>
      </c>
      <c r="C19" s="1009" t="s">
        <v>627</v>
      </c>
      <c r="D19" s="1010"/>
      <c r="E19" s="1010"/>
      <c r="F19" s="1010"/>
      <c r="G19" s="1010"/>
      <c r="H19" s="1010"/>
      <c r="I19" s="1011"/>
      <c r="J19" s="1001" t="s">
        <v>558</v>
      </c>
      <c r="K19" s="1002"/>
      <c r="L19" s="1002"/>
      <c r="M19" s="1002"/>
      <c r="N19" s="1003"/>
      <c r="O19" s="324"/>
      <c r="P19" s="10"/>
      <c r="Q19" s="10"/>
      <c r="R19" s="10"/>
      <c r="S19" s="10"/>
      <c r="T19" s="10"/>
      <c r="U19" s="10"/>
      <c r="V19" s="10"/>
      <c r="W19" s="10"/>
      <c r="X19" s="10"/>
      <c r="Y19" s="10"/>
      <c r="Z19" s="10"/>
      <c r="AA19" s="10"/>
      <c r="AB19" s="12"/>
    </row>
    <row r="20" spans="1:31" ht="109.5" customHeight="1">
      <c r="A20" s="9"/>
      <c r="B20" s="435" t="s">
        <v>527</v>
      </c>
      <c r="C20" s="1004" t="str">
        <f>IF(AE12=0, "FILL OUT MILESTONE 1 QUESTIONNAIRE", Milestone_Results_Summary!G7)</f>
        <v>FILL OUT MILESTONE 1 QUESTIONNAIRE</v>
      </c>
      <c r="D20" s="1004"/>
      <c r="E20" s="1004"/>
      <c r="F20" s="1004"/>
      <c r="G20" s="1004"/>
      <c r="H20" s="1004"/>
      <c r="I20" s="1004"/>
      <c r="J20" s="1005" t="str">
        <f>IF(AE12=0, "FILL OUT MILESTONE 1 QUESTIONNAIRE", Milestone_Results_Summary!H7)</f>
        <v>FILL OUT MILESTONE 1 QUESTIONNAIRE</v>
      </c>
      <c r="K20" s="1006"/>
      <c r="L20" s="1006"/>
      <c r="M20" s="1006"/>
      <c r="N20" s="1007"/>
      <c r="O20" s="437"/>
      <c r="P20" s="10"/>
      <c r="Q20" s="10"/>
      <c r="R20" s="10"/>
      <c r="S20" s="10"/>
      <c r="T20" s="10"/>
      <c r="U20" s="10"/>
      <c r="V20" s="10"/>
      <c r="W20" s="10"/>
      <c r="X20" s="10"/>
      <c r="Y20" s="10"/>
      <c r="Z20" s="10"/>
      <c r="AA20" s="10"/>
      <c r="AB20" s="12"/>
    </row>
    <row r="21" spans="1:31" ht="109.5" customHeight="1">
      <c r="A21" s="9"/>
      <c r="B21" s="435" t="s">
        <v>530</v>
      </c>
      <c r="C21" s="1004" t="str">
        <f>IF(AE13=0,"FILL OUT MILESTONE 2 QUESTIONNAIRE",Milestone_Results_Summary!G13)</f>
        <v>FILL OUT MILESTONE 2 QUESTIONNAIRE</v>
      </c>
      <c r="D21" s="1004"/>
      <c r="E21" s="1004"/>
      <c r="F21" s="1004"/>
      <c r="G21" s="1004"/>
      <c r="H21" s="1004"/>
      <c r="I21" s="1004"/>
      <c r="J21" s="1008" t="str">
        <f>IF(AE13=0,"FILL OUT MILESTONE 2 QUESTIONNAIRE",Milestone_Results_Summary!H13)</f>
        <v>FILL OUT MILESTONE 2 QUESTIONNAIRE</v>
      </c>
      <c r="K21" s="1008"/>
      <c r="L21" s="1008"/>
      <c r="M21" s="1008"/>
      <c r="N21" s="1008"/>
      <c r="O21" s="437"/>
      <c r="P21" s="10"/>
      <c r="Q21" s="10"/>
      <c r="R21" s="10"/>
      <c r="S21" s="10"/>
      <c r="T21" s="10"/>
      <c r="U21" s="10"/>
      <c r="V21" s="10"/>
      <c r="W21" s="10"/>
      <c r="X21" s="10"/>
      <c r="Y21" s="10"/>
      <c r="Z21" s="10"/>
      <c r="AA21" s="10"/>
      <c r="AB21" s="12"/>
    </row>
    <row r="22" spans="1:31" ht="109.5" customHeight="1">
      <c r="A22" s="9"/>
      <c r="B22" s="435" t="s">
        <v>532</v>
      </c>
      <c r="C22" s="1004" t="str">
        <f>IF(AE14=0,"FILL OUT MILESTONE 3 QUESTIONNAIRE",Milestone_Results_Summary!G17)</f>
        <v>FILL OUT MILESTONE 3 QUESTIONNAIRE</v>
      </c>
      <c r="D22" s="1004"/>
      <c r="E22" s="1004"/>
      <c r="F22" s="1004"/>
      <c r="G22" s="1004"/>
      <c r="H22" s="1004"/>
      <c r="I22" s="1004"/>
      <c r="J22" s="1008" t="str">
        <f>IF(AE14=0,"FILL OUT MILESTONE 3 QUESTIONNAIRE",Milestone_Results_Summary!H17)</f>
        <v>FILL OUT MILESTONE 3 QUESTIONNAIRE</v>
      </c>
      <c r="K22" s="1008"/>
      <c r="L22" s="1008"/>
      <c r="M22" s="1008"/>
      <c r="N22" s="1008"/>
      <c r="O22" s="437"/>
      <c r="P22" s="10"/>
      <c r="Q22" s="10"/>
      <c r="R22" s="10"/>
      <c r="S22" s="10"/>
      <c r="T22" s="10"/>
      <c r="U22" s="10"/>
      <c r="V22" s="10"/>
      <c r="W22" s="10"/>
      <c r="X22" s="10"/>
      <c r="Y22" s="10"/>
      <c r="Z22" s="10"/>
      <c r="AA22" s="10"/>
      <c r="AB22" s="12"/>
    </row>
    <row r="23" spans="1:31" ht="109.5" customHeight="1">
      <c r="A23" s="9"/>
      <c r="B23" s="435" t="s">
        <v>533</v>
      </c>
      <c r="C23" s="1004" t="str">
        <f>IF(AE15=0,"FILL OUT MILESTONE 4 QUESTIONNAIRE",Milestone_Results_Summary!G24)</f>
        <v>FILL OUT MILESTONE 4 QUESTIONNAIRE</v>
      </c>
      <c r="D23" s="1004"/>
      <c r="E23" s="1004"/>
      <c r="F23" s="1004"/>
      <c r="G23" s="1004"/>
      <c r="H23" s="1004"/>
      <c r="I23" s="1004"/>
      <c r="J23" s="1008" t="str">
        <f>IF(AE15=0,"FILL OUT MILESTONE 4 QUESTIONNAIRE",Milestone_Results_Summary!H24)</f>
        <v>FILL OUT MILESTONE 4 QUESTIONNAIRE</v>
      </c>
      <c r="K23" s="1008"/>
      <c r="L23" s="1008"/>
      <c r="M23" s="1008"/>
      <c r="N23" s="1008"/>
      <c r="O23" s="437"/>
      <c r="P23" s="10"/>
      <c r="Q23" s="10"/>
      <c r="R23" s="10"/>
      <c r="S23" s="10"/>
      <c r="T23" s="10"/>
      <c r="U23" s="10"/>
      <c r="V23" s="10"/>
      <c r="W23" s="10"/>
      <c r="X23" s="10"/>
      <c r="Y23" s="10"/>
      <c r="Z23" s="10"/>
      <c r="AA23" s="10"/>
      <c r="AB23" s="12"/>
    </row>
    <row r="24" spans="1:31" ht="109.5" customHeight="1">
      <c r="A24" s="9"/>
      <c r="B24" s="435" t="s">
        <v>531</v>
      </c>
      <c r="C24" s="1004" t="str">
        <f>IF(AE16=0,"FILL OUT MILESTONE 5 QUESTIONNAIRE",Milestone_Results_Summary!G30)</f>
        <v>FILL OUT MILESTONE 5 QUESTIONNAIRE</v>
      </c>
      <c r="D24" s="1004"/>
      <c r="E24" s="1004"/>
      <c r="F24" s="1004"/>
      <c r="G24" s="1004"/>
      <c r="H24" s="1004"/>
      <c r="I24" s="1004"/>
      <c r="J24" s="1008" t="str">
        <f>IF(AE16=0,"FILL OUT MILESTONE 5 QUESTIONNAIRE",Milestone_Results_Summary!H30)</f>
        <v>FILL OUT MILESTONE 5 QUESTIONNAIRE</v>
      </c>
      <c r="K24" s="1008"/>
      <c r="L24" s="1008"/>
      <c r="M24" s="1008"/>
      <c r="N24" s="1008"/>
      <c r="O24" s="437"/>
      <c r="P24" s="10"/>
      <c r="Q24" s="10"/>
      <c r="R24" s="10"/>
      <c r="S24" s="10"/>
      <c r="T24" s="10"/>
      <c r="U24" s="10"/>
      <c r="V24" s="10"/>
      <c r="W24" s="10"/>
      <c r="X24" s="10"/>
      <c r="Y24" s="10"/>
      <c r="Z24" s="10"/>
      <c r="AA24" s="10"/>
      <c r="AB24" s="12"/>
    </row>
    <row r="25" spans="1:31" ht="109.5" customHeight="1">
      <c r="A25" s="9"/>
      <c r="B25" s="435" t="s">
        <v>810</v>
      </c>
      <c r="C25" s="1004" t="str">
        <f>IF(AE17=0,"FILL OUT MILESTONE 6: ONGOING IMPLEMENTATION QUESTIONNAIRE",Milestone_Results_Summary!G36)</f>
        <v>FILL OUT MILESTONE 6: ONGOING IMPLEMENTATION QUESTIONNAIRE</v>
      </c>
      <c r="D25" s="1004"/>
      <c r="E25" s="1004"/>
      <c r="F25" s="1004"/>
      <c r="G25" s="1004"/>
      <c r="H25" s="1004"/>
      <c r="I25" s="1004"/>
      <c r="J25" s="1008" t="str">
        <f>IF(AE17=0,"FILL OUT MILESTONE 6: ONGOING IMPLEMENTATION QUESTIONNAIRE",Milestone_Results_Summary!H36)</f>
        <v>FILL OUT MILESTONE 6: ONGOING IMPLEMENTATION QUESTIONNAIRE</v>
      </c>
      <c r="K25" s="1008"/>
      <c r="L25" s="1008"/>
      <c r="M25" s="1008"/>
      <c r="N25" s="1008"/>
      <c r="O25" s="437"/>
      <c r="P25" s="10"/>
      <c r="Q25" s="10"/>
      <c r="R25" s="10"/>
      <c r="S25" s="10"/>
      <c r="T25" s="10"/>
      <c r="U25" s="10"/>
      <c r="V25" s="10"/>
      <c r="W25" s="10"/>
      <c r="X25" s="10"/>
      <c r="Y25" s="10"/>
      <c r="Z25" s="10"/>
      <c r="AA25" s="10"/>
      <c r="AB25" s="12"/>
    </row>
    <row r="26" spans="1:31">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2"/>
    </row>
    <row r="27" spans="1:31" s="271" customFormat="1" ht="21">
      <c r="A27" s="307"/>
      <c r="B27" s="1032" t="s">
        <v>66</v>
      </c>
      <c r="C27" s="1033"/>
      <c r="D27" s="1033"/>
      <c r="E27" s="1033"/>
      <c r="F27" s="1033"/>
      <c r="G27" s="1033"/>
      <c r="H27" s="1033"/>
      <c r="I27" s="1033"/>
      <c r="J27" s="1033"/>
      <c r="K27" s="1033"/>
      <c r="L27" s="1033"/>
      <c r="M27" s="1033"/>
      <c r="N27" s="1033"/>
      <c r="O27" s="1033"/>
      <c r="P27" s="1034"/>
      <c r="Q27" s="322"/>
      <c r="R27" s="1053" t="str">
        <f>Milestone_1!U131</f>
        <v>0/18</v>
      </c>
      <c r="S27" s="1037"/>
      <c r="T27" s="322"/>
      <c r="U27" s="322"/>
      <c r="V27" s="322"/>
      <c r="W27" s="322"/>
      <c r="X27" s="322"/>
      <c r="Y27" s="322"/>
      <c r="Z27" s="322"/>
      <c r="AA27" s="322"/>
      <c r="AB27" s="308"/>
    </row>
    <row r="28" spans="1:31" ht="15.6">
      <c r="A28" s="9"/>
      <c r="B28" s="267"/>
      <c r="C28" s="267"/>
      <c r="D28" s="267"/>
      <c r="E28" s="267"/>
      <c r="F28" s="267"/>
      <c r="G28" s="267"/>
      <c r="H28" s="64"/>
      <c r="I28" s="64"/>
      <c r="J28" s="10"/>
      <c r="K28" s="10"/>
      <c r="L28" s="10"/>
      <c r="M28" s="10"/>
      <c r="N28" s="10"/>
      <c r="O28" s="10"/>
      <c r="P28" s="10"/>
      <c r="Q28" s="10"/>
      <c r="R28" s="10"/>
      <c r="S28" s="10"/>
      <c r="T28" s="10"/>
      <c r="U28" s="10"/>
      <c r="V28" s="10"/>
      <c r="W28" s="10"/>
      <c r="X28" s="10"/>
      <c r="Y28" s="10"/>
      <c r="Z28" s="10"/>
      <c r="AA28" s="10"/>
      <c r="AB28" s="12"/>
    </row>
    <row r="29" spans="1:31" ht="15.45" customHeight="1">
      <c r="A29" s="9"/>
      <c r="B29" s="1009" t="s">
        <v>1178</v>
      </c>
      <c r="C29" s="1010"/>
      <c r="D29" s="1010"/>
      <c r="E29" s="1010"/>
      <c r="F29" s="1010"/>
      <c r="G29" s="1010"/>
      <c r="H29" s="1011"/>
      <c r="I29" s="18"/>
      <c r="J29" s="1001" t="s">
        <v>803</v>
      </c>
      <c r="K29" s="1002"/>
      <c r="L29" s="1002"/>
      <c r="M29" s="1002"/>
      <c r="N29" s="1002"/>
      <c r="O29" s="1002"/>
      <c r="P29" s="1003"/>
      <c r="Q29" s="10"/>
      <c r="R29" s="10"/>
      <c r="S29" s="253"/>
      <c r="T29" s="10"/>
      <c r="U29" s="253"/>
      <c r="V29" s="253"/>
      <c r="W29" s="253"/>
      <c r="X29" s="253"/>
      <c r="Y29" s="253"/>
      <c r="Z29" s="253"/>
      <c r="AA29" s="253"/>
      <c r="AB29" s="12"/>
    </row>
    <row r="30" spans="1:31" ht="23.55" customHeight="1">
      <c r="A30" s="9"/>
      <c r="B30" s="1020" t="str">
        <f>IF(AE12=0, "FILL OUT MILESTONE 1 QUESTIONNAIRE", Milestone_Results_Summary!I7)</f>
        <v>FILL OUT MILESTONE 1 QUESTIONNAIRE</v>
      </c>
      <c r="C30" s="1021"/>
      <c r="D30" s="1021"/>
      <c r="E30" s="1021"/>
      <c r="F30" s="1021"/>
      <c r="G30" s="1021"/>
      <c r="H30" s="1022"/>
      <c r="I30" s="24"/>
      <c r="J30" s="1026" t="str">
        <f>IF(AE12=0, "FILL OUT MILESTONE 1 QUESTIONNAIRE",Milestone_Results_Summary!J7)</f>
        <v>FILL OUT MILESTONE 1 QUESTIONNAIRE</v>
      </c>
      <c r="K30" s="1027"/>
      <c r="L30" s="1027"/>
      <c r="M30" s="1027"/>
      <c r="N30" s="1027"/>
      <c r="O30" s="1027"/>
      <c r="P30" s="1028"/>
      <c r="Q30" s="10"/>
      <c r="R30" s="253"/>
      <c r="S30" s="253"/>
      <c r="T30" s="10"/>
      <c r="U30" s="253"/>
      <c r="V30" s="253"/>
      <c r="W30" s="253"/>
      <c r="X30" s="253"/>
      <c r="Y30" s="253"/>
      <c r="Z30" s="253"/>
      <c r="AA30" s="253"/>
      <c r="AB30" s="12"/>
    </row>
    <row r="31" spans="1:31" ht="23.55" customHeight="1">
      <c r="A31" s="9"/>
      <c r="B31" s="1020"/>
      <c r="C31" s="1021"/>
      <c r="D31" s="1021"/>
      <c r="E31" s="1021"/>
      <c r="F31" s="1021"/>
      <c r="G31" s="1021"/>
      <c r="H31" s="1022"/>
      <c r="I31" s="24"/>
      <c r="J31" s="1026"/>
      <c r="K31" s="1027"/>
      <c r="L31" s="1027"/>
      <c r="M31" s="1027"/>
      <c r="N31" s="1027"/>
      <c r="O31" s="1027"/>
      <c r="P31" s="1028"/>
      <c r="Q31" s="10"/>
      <c r="R31" s="253"/>
      <c r="S31" s="253"/>
      <c r="T31" s="10"/>
      <c r="U31" s="253"/>
      <c r="V31" s="253"/>
      <c r="W31" s="253"/>
      <c r="X31" s="253"/>
      <c r="Y31" s="253"/>
      <c r="Z31" s="253"/>
      <c r="AA31" s="253"/>
      <c r="AB31" s="12"/>
    </row>
    <row r="32" spans="1:31" ht="23.55" customHeight="1">
      <c r="A32" s="9"/>
      <c r="B32" s="1020"/>
      <c r="C32" s="1021"/>
      <c r="D32" s="1021"/>
      <c r="E32" s="1021"/>
      <c r="F32" s="1021"/>
      <c r="G32" s="1021"/>
      <c r="H32" s="1022"/>
      <c r="I32" s="24"/>
      <c r="J32" s="1026"/>
      <c r="K32" s="1027"/>
      <c r="L32" s="1027"/>
      <c r="M32" s="1027"/>
      <c r="N32" s="1027"/>
      <c r="O32" s="1027"/>
      <c r="P32" s="1028"/>
      <c r="Q32" s="10"/>
      <c r="R32" s="253"/>
      <c r="S32" s="253"/>
      <c r="T32" s="10"/>
      <c r="U32" s="253"/>
      <c r="V32" s="253"/>
      <c r="W32" s="253"/>
      <c r="X32" s="253"/>
      <c r="Y32" s="253"/>
      <c r="Z32" s="253"/>
      <c r="AA32" s="253"/>
      <c r="AB32" s="12"/>
    </row>
    <row r="33" spans="1:28" ht="23.55" customHeight="1">
      <c r="A33" s="9"/>
      <c r="B33" s="1020"/>
      <c r="C33" s="1021"/>
      <c r="D33" s="1021"/>
      <c r="E33" s="1021"/>
      <c r="F33" s="1021"/>
      <c r="G33" s="1021"/>
      <c r="H33" s="1022"/>
      <c r="I33" s="24"/>
      <c r="J33" s="1026"/>
      <c r="K33" s="1027"/>
      <c r="L33" s="1027"/>
      <c r="M33" s="1027"/>
      <c r="N33" s="1027"/>
      <c r="O33" s="1027"/>
      <c r="P33" s="1028"/>
      <c r="Q33" s="10"/>
      <c r="R33" s="253"/>
      <c r="S33" s="253"/>
      <c r="T33" s="10"/>
      <c r="U33" s="253"/>
      <c r="V33" s="253"/>
      <c r="W33" s="253"/>
      <c r="X33" s="253"/>
      <c r="Y33" s="253"/>
      <c r="Z33" s="253"/>
      <c r="AA33" s="253"/>
      <c r="AB33" s="12"/>
    </row>
    <row r="34" spans="1:28" ht="23.55" customHeight="1">
      <c r="A34" s="9"/>
      <c r="B34" s="1020"/>
      <c r="C34" s="1021"/>
      <c r="D34" s="1021"/>
      <c r="E34" s="1021"/>
      <c r="F34" s="1021"/>
      <c r="G34" s="1021"/>
      <c r="H34" s="1022"/>
      <c r="I34" s="24"/>
      <c r="J34" s="1026"/>
      <c r="K34" s="1027"/>
      <c r="L34" s="1027"/>
      <c r="M34" s="1027"/>
      <c r="N34" s="1027"/>
      <c r="O34" s="1027"/>
      <c r="P34" s="1028"/>
      <c r="Q34" s="10"/>
      <c r="R34" s="253"/>
      <c r="S34" s="253"/>
      <c r="T34" s="10"/>
      <c r="U34" s="10"/>
      <c r="V34" s="10"/>
      <c r="W34" s="10"/>
      <c r="X34" s="10"/>
      <c r="Y34" s="10"/>
      <c r="Z34" s="10"/>
      <c r="AA34" s="10"/>
      <c r="AB34" s="12"/>
    </row>
    <row r="35" spans="1:28" ht="23.55" customHeight="1">
      <c r="A35" s="9"/>
      <c r="B35" s="1020"/>
      <c r="C35" s="1021"/>
      <c r="D35" s="1021"/>
      <c r="E35" s="1021"/>
      <c r="F35" s="1021"/>
      <c r="G35" s="1021"/>
      <c r="H35" s="1022"/>
      <c r="I35" s="24"/>
      <c r="J35" s="1026"/>
      <c r="K35" s="1027"/>
      <c r="L35" s="1027"/>
      <c r="M35" s="1027"/>
      <c r="N35" s="1027"/>
      <c r="O35" s="1027"/>
      <c r="P35" s="1028"/>
      <c r="Q35" s="10"/>
      <c r="R35" s="253"/>
      <c r="S35" s="253"/>
      <c r="T35" s="10"/>
      <c r="U35" s="10"/>
      <c r="V35" s="10"/>
      <c r="W35" s="10"/>
      <c r="X35" s="10"/>
      <c r="Y35" s="10"/>
      <c r="Z35" s="10"/>
      <c r="AA35" s="10"/>
      <c r="AB35" s="12"/>
    </row>
    <row r="36" spans="1:28" ht="23.55" customHeight="1">
      <c r="A36" s="9"/>
      <c r="B36" s="1020"/>
      <c r="C36" s="1021"/>
      <c r="D36" s="1021"/>
      <c r="E36" s="1021"/>
      <c r="F36" s="1021"/>
      <c r="G36" s="1021"/>
      <c r="H36" s="1022"/>
      <c r="I36" s="24"/>
      <c r="J36" s="1026"/>
      <c r="K36" s="1027"/>
      <c r="L36" s="1027"/>
      <c r="M36" s="1027"/>
      <c r="N36" s="1027"/>
      <c r="O36" s="1027"/>
      <c r="P36" s="1028"/>
      <c r="Q36" s="10"/>
      <c r="R36" s="253"/>
      <c r="S36" s="253"/>
      <c r="T36" s="10"/>
      <c r="U36" s="10"/>
      <c r="V36" s="10"/>
      <c r="W36" s="10"/>
      <c r="X36" s="10"/>
      <c r="Y36" s="10"/>
      <c r="Z36" s="10"/>
      <c r="AA36" s="10"/>
      <c r="AB36" s="12"/>
    </row>
    <row r="37" spans="1:28" ht="23.55" customHeight="1">
      <c r="A37" s="9"/>
      <c r="B37" s="1020"/>
      <c r="C37" s="1021"/>
      <c r="D37" s="1021"/>
      <c r="E37" s="1021"/>
      <c r="F37" s="1021"/>
      <c r="G37" s="1021"/>
      <c r="H37" s="1022"/>
      <c r="I37" s="24"/>
      <c r="J37" s="1026"/>
      <c r="K37" s="1027"/>
      <c r="L37" s="1027"/>
      <c r="M37" s="1027"/>
      <c r="N37" s="1027"/>
      <c r="O37" s="1027"/>
      <c r="P37" s="1028"/>
      <c r="Q37" s="10"/>
      <c r="R37" s="253"/>
      <c r="S37" s="253"/>
      <c r="T37" s="10"/>
      <c r="U37" s="10"/>
      <c r="V37" s="10"/>
      <c r="W37" s="10"/>
      <c r="X37" s="10"/>
      <c r="Y37" s="10"/>
      <c r="Z37" s="10"/>
      <c r="AA37" s="10"/>
      <c r="AB37" s="12"/>
    </row>
    <row r="38" spans="1:28" ht="23.55" customHeight="1">
      <c r="A38" s="9"/>
      <c r="B38" s="1020"/>
      <c r="C38" s="1021"/>
      <c r="D38" s="1021"/>
      <c r="E38" s="1021"/>
      <c r="F38" s="1021"/>
      <c r="G38" s="1021"/>
      <c r="H38" s="1022"/>
      <c r="I38" s="24"/>
      <c r="J38" s="1026"/>
      <c r="K38" s="1027"/>
      <c r="L38" s="1027"/>
      <c r="M38" s="1027"/>
      <c r="N38" s="1027"/>
      <c r="O38" s="1027"/>
      <c r="P38" s="1028"/>
      <c r="Q38" s="10"/>
      <c r="R38" s="1047"/>
      <c r="S38" s="1047"/>
      <c r="T38" s="1047"/>
      <c r="U38" s="1047"/>
      <c r="V38" s="1047"/>
      <c r="W38" s="1047"/>
      <c r="X38" s="1047"/>
      <c r="Y38" s="1047"/>
      <c r="Z38" s="1047"/>
      <c r="AA38" s="1047"/>
      <c r="AB38" s="12"/>
    </row>
    <row r="39" spans="1:28" ht="23.55" customHeight="1">
      <c r="A39" s="9"/>
      <c r="B39" s="1020"/>
      <c r="C39" s="1021"/>
      <c r="D39" s="1021"/>
      <c r="E39" s="1021"/>
      <c r="F39" s="1021"/>
      <c r="G39" s="1021"/>
      <c r="H39" s="1022"/>
      <c r="I39" s="24"/>
      <c r="J39" s="1026"/>
      <c r="K39" s="1027"/>
      <c r="L39" s="1027"/>
      <c r="M39" s="1027"/>
      <c r="N39" s="1027"/>
      <c r="O39" s="1027"/>
      <c r="P39" s="1028"/>
      <c r="Q39" s="10"/>
      <c r="R39" s="370"/>
      <c r="S39" s="253"/>
      <c r="T39" s="253"/>
      <c r="U39" s="253"/>
      <c r="V39" s="253"/>
      <c r="W39" s="253"/>
      <c r="X39" s="253"/>
      <c r="Y39" s="253"/>
      <c r="Z39" s="253"/>
      <c r="AA39" s="253"/>
      <c r="AB39" s="12"/>
    </row>
    <row r="40" spans="1:28" ht="23.55" customHeight="1">
      <c r="A40" s="9"/>
      <c r="B40" s="1020"/>
      <c r="C40" s="1021"/>
      <c r="D40" s="1021"/>
      <c r="E40" s="1021"/>
      <c r="F40" s="1021"/>
      <c r="G40" s="1021"/>
      <c r="H40" s="1022"/>
      <c r="I40" s="24"/>
      <c r="J40" s="1026"/>
      <c r="K40" s="1027"/>
      <c r="L40" s="1027"/>
      <c r="M40" s="1027"/>
      <c r="N40" s="1027"/>
      <c r="O40" s="1027"/>
      <c r="P40" s="1028"/>
      <c r="Q40" s="10"/>
      <c r="R40" s="370"/>
      <c r="S40" s="253"/>
      <c r="T40" s="253"/>
      <c r="U40" s="253"/>
      <c r="V40" s="253"/>
      <c r="W40" s="253"/>
      <c r="X40" s="253"/>
      <c r="Y40" s="253"/>
      <c r="Z40" s="253"/>
      <c r="AA40" s="253"/>
      <c r="AB40" s="12"/>
    </row>
    <row r="41" spans="1:28" ht="23.55" customHeight="1">
      <c r="A41" s="9"/>
      <c r="B41" s="1020"/>
      <c r="C41" s="1021"/>
      <c r="D41" s="1021"/>
      <c r="E41" s="1021"/>
      <c r="F41" s="1021"/>
      <c r="G41" s="1021"/>
      <c r="H41" s="1022"/>
      <c r="I41" s="24"/>
      <c r="J41" s="1026"/>
      <c r="K41" s="1027"/>
      <c r="L41" s="1027"/>
      <c r="M41" s="1027"/>
      <c r="N41" s="1027"/>
      <c r="O41" s="1027"/>
      <c r="P41" s="1028"/>
      <c r="Q41" s="10"/>
      <c r="R41" s="253"/>
      <c r="S41" s="253"/>
      <c r="T41" s="253"/>
      <c r="U41" s="253"/>
      <c r="V41" s="253"/>
      <c r="W41" s="253"/>
      <c r="X41" s="253"/>
      <c r="Y41" s="253"/>
      <c r="Z41" s="253"/>
      <c r="AA41" s="253"/>
      <c r="AB41" s="12"/>
    </row>
    <row r="42" spans="1:28" ht="23.55" customHeight="1">
      <c r="A42" s="9"/>
      <c r="B42" s="1023"/>
      <c r="C42" s="1024"/>
      <c r="D42" s="1024"/>
      <c r="E42" s="1024"/>
      <c r="F42" s="1024"/>
      <c r="G42" s="1024"/>
      <c r="H42" s="1025"/>
      <c r="I42" s="24"/>
      <c r="J42" s="1029"/>
      <c r="K42" s="1030"/>
      <c r="L42" s="1030"/>
      <c r="M42" s="1030"/>
      <c r="N42" s="1030"/>
      <c r="O42" s="1030"/>
      <c r="P42" s="1031"/>
      <c r="Q42" s="10"/>
      <c r="R42" s="253"/>
      <c r="S42" s="253"/>
      <c r="T42" s="253"/>
      <c r="U42" s="253"/>
      <c r="V42" s="253"/>
      <c r="W42" s="253"/>
      <c r="X42" s="253"/>
      <c r="Y42" s="253"/>
      <c r="Z42" s="253"/>
      <c r="AA42" s="253"/>
      <c r="AB42" s="12"/>
    </row>
    <row r="43" spans="1:28">
      <c r="A43" s="9"/>
      <c r="B43" s="62"/>
      <c r="C43" s="62"/>
      <c r="D43" s="62"/>
      <c r="E43" s="62"/>
      <c r="F43" s="62"/>
      <c r="G43" s="62"/>
      <c r="H43" s="10"/>
      <c r="I43" s="10"/>
      <c r="J43" s="10"/>
      <c r="K43" s="10"/>
      <c r="L43" s="10"/>
      <c r="M43" s="10"/>
      <c r="N43" s="10"/>
      <c r="O43" s="10"/>
      <c r="P43" s="10"/>
      <c r="Q43" s="10"/>
      <c r="R43" s="10"/>
      <c r="S43" s="10"/>
      <c r="T43" s="10"/>
      <c r="U43" s="10"/>
      <c r="V43" s="10"/>
      <c r="W43" s="10"/>
      <c r="X43" s="10"/>
      <c r="Y43" s="10"/>
      <c r="Z43" s="10"/>
      <c r="AA43" s="10"/>
      <c r="AB43" s="12"/>
    </row>
    <row r="44" spans="1:28" ht="21">
      <c r="A44" s="9"/>
      <c r="B44" s="1032" t="s">
        <v>43</v>
      </c>
      <c r="C44" s="1033"/>
      <c r="D44" s="1033"/>
      <c r="E44" s="1033"/>
      <c r="F44" s="1033"/>
      <c r="G44" s="1033"/>
      <c r="H44" s="1033"/>
      <c r="I44" s="1033"/>
      <c r="J44" s="1033"/>
      <c r="K44" s="1033"/>
      <c r="L44" s="1033"/>
      <c r="M44" s="1033"/>
      <c r="N44" s="1033"/>
      <c r="O44" s="1033"/>
      <c r="P44" s="1034"/>
      <c r="Q44" s="10"/>
      <c r="R44" s="1036" t="str">
        <f>Milestone_2!R52</f>
        <v>0/15</v>
      </c>
      <c r="S44" s="1037"/>
      <c r="T44" s="10"/>
      <c r="U44" s="10"/>
      <c r="V44" s="10"/>
      <c r="W44" s="10"/>
      <c r="X44" s="10"/>
      <c r="Y44" s="10"/>
      <c r="Z44" s="10"/>
      <c r="AA44" s="10"/>
      <c r="AB44" s="12"/>
    </row>
    <row r="45" spans="1:28" ht="15.6">
      <c r="A45" s="9"/>
      <c r="B45" s="267"/>
      <c r="C45" s="267"/>
      <c r="D45" s="267"/>
      <c r="E45" s="267"/>
      <c r="F45" s="267"/>
      <c r="G45" s="267"/>
      <c r="H45" s="64"/>
      <c r="I45" s="64"/>
      <c r="J45" s="10"/>
      <c r="K45" s="10"/>
      <c r="L45" s="10"/>
      <c r="M45" s="10"/>
      <c r="N45" s="10"/>
      <c r="O45" s="10"/>
      <c r="P45" s="10"/>
      <c r="Q45" s="10"/>
      <c r="R45" s="10"/>
      <c r="S45" s="10"/>
      <c r="T45" s="10"/>
      <c r="U45" s="10"/>
      <c r="V45" s="10"/>
      <c r="W45" s="10"/>
      <c r="X45" s="10"/>
      <c r="Y45" s="10"/>
      <c r="Z45" s="10"/>
      <c r="AA45" s="10"/>
      <c r="AB45" s="12"/>
    </row>
    <row r="46" spans="1:28" ht="15.6">
      <c r="A46" s="9"/>
      <c r="B46" s="1009" t="s">
        <v>1178</v>
      </c>
      <c r="C46" s="1010"/>
      <c r="D46" s="1010"/>
      <c r="E46" s="1010"/>
      <c r="F46" s="1010"/>
      <c r="G46" s="1010"/>
      <c r="H46" s="1011"/>
      <c r="I46" s="64"/>
      <c r="J46" s="1001" t="s">
        <v>803</v>
      </c>
      <c r="K46" s="1002"/>
      <c r="L46" s="1002"/>
      <c r="M46" s="1002"/>
      <c r="N46" s="1002"/>
      <c r="O46" s="1002"/>
      <c r="P46" s="1003"/>
      <c r="Q46" s="10"/>
      <c r="R46" s="10"/>
      <c r="S46" s="253"/>
      <c r="T46" s="10"/>
      <c r="U46" s="253"/>
      <c r="V46" s="253"/>
      <c r="W46" s="253"/>
      <c r="X46" s="253"/>
      <c r="Y46" s="253"/>
      <c r="Z46" s="253"/>
      <c r="AA46" s="253"/>
      <c r="AB46" s="12"/>
    </row>
    <row r="47" spans="1:28" ht="37.049999999999997" customHeight="1">
      <c r="A47" s="9"/>
      <c r="B47" s="1020" t="str">
        <f>IF(AE13=0,"FILL OUT MILESTONE 2 QUESTIONNAIRE",Milestone_Results_Summary!I13)</f>
        <v>FILL OUT MILESTONE 2 QUESTIONNAIRE</v>
      </c>
      <c r="C47" s="1021"/>
      <c r="D47" s="1021"/>
      <c r="E47" s="1021"/>
      <c r="F47" s="1021"/>
      <c r="G47" s="1021"/>
      <c r="H47" s="1022"/>
      <c r="I47" s="11"/>
      <c r="J47" s="1026" t="str">
        <f>IF(AE13=0,"FILL OUT MILESTONE 2 QUESTIONNAIRE",Milestone_Results_Summary!J13)</f>
        <v>FILL OUT MILESTONE 2 QUESTIONNAIRE</v>
      </c>
      <c r="K47" s="1027"/>
      <c r="L47" s="1027"/>
      <c r="M47" s="1027"/>
      <c r="N47" s="1027"/>
      <c r="O47" s="1027"/>
      <c r="P47" s="1028"/>
      <c r="Q47" s="10"/>
      <c r="R47" s="253"/>
      <c r="S47" s="253"/>
      <c r="T47" s="10"/>
      <c r="U47" s="253"/>
      <c r="V47" s="253"/>
      <c r="W47" s="253"/>
      <c r="X47" s="253"/>
      <c r="Y47" s="253"/>
      <c r="Z47" s="253"/>
      <c r="AA47" s="253"/>
      <c r="AB47" s="12"/>
    </row>
    <row r="48" spans="1:28" ht="23.55" customHeight="1">
      <c r="A48" s="9"/>
      <c r="B48" s="1020"/>
      <c r="C48" s="1021"/>
      <c r="D48" s="1021"/>
      <c r="E48" s="1021"/>
      <c r="F48" s="1021"/>
      <c r="G48" s="1021"/>
      <c r="H48" s="1022"/>
      <c r="I48" s="11"/>
      <c r="J48" s="1026"/>
      <c r="K48" s="1027"/>
      <c r="L48" s="1027"/>
      <c r="M48" s="1027"/>
      <c r="N48" s="1027"/>
      <c r="O48" s="1027"/>
      <c r="P48" s="1028"/>
      <c r="Q48" s="10"/>
      <c r="R48" s="253"/>
      <c r="S48" s="253"/>
      <c r="T48" s="10"/>
      <c r="U48" s="253"/>
      <c r="V48" s="253"/>
      <c r="W48" s="253"/>
      <c r="X48" s="253"/>
      <c r="Y48" s="253"/>
      <c r="Z48" s="253"/>
      <c r="AA48" s="253"/>
      <c r="AB48" s="12"/>
    </row>
    <row r="49" spans="1:28" ht="23.55" customHeight="1">
      <c r="A49" s="9"/>
      <c r="B49" s="1020"/>
      <c r="C49" s="1021"/>
      <c r="D49" s="1021"/>
      <c r="E49" s="1021"/>
      <c r="F49" s="1021"/>
      <c r="G49" s="1021"/>
      <c r="H49" s="1022"/>
      <c r="I49" s="11"/>
      <c r="J49" s="1026"/>
      <c r="K49" s="1027"/>
      <c r="L49" s="1027"/>
      <c r="M49" s="1027"/>
      <c r="N49" s="1027"/>
      <c r="O49" s="1027"/>
      <c r="P49" s="1028"/>
      <c r="Q49" s="10"/>
      <c r="R49" s="253"/>
      <c r="S49" s="253"/>
      <c r="T49" s="10"/>
      <c r="U49" s="253"/>
      <c r="V49" s="253"/>
      <c r="W49" s="253"/>
      <c r="X49" s="253"/>
      <c r="Y49" s="253"/>
      <c r="Z49" s="253"/>
      <c r="AA49" s="253"/>
      <c r="AB49" s="12"/>
    </row>
    <row r="50" spans="1:28" ht="23.55" customHeight="1">
      <c r="A50" s="9"/>
      <c r="B50" s="1020"/>
      <c r="C50" s="1021"/>
      <c r="D50" s="1021"/>
      <c r="E50" s="1021"/>
      <c r="F50" s="1021"/>
      <c r="G50" s="1021"/>
      <c r="H50" s="1022"/>
      <c r="I50" s="11"/>
      <c r="J50" s="1026"/>
      <c r="K50" s="1027"/>
      <c r="L50" s="1027"/>
      <c r="M50" s="1027"/>
      <c r="N50" s="1027"/>
      <c r="O50" s="1027"/>
      <c r="P50" s="1028"/>
      <c r="Q50" s="10"/>
      <c r="R50" s="253"/>
      <c r="S50" s="253"/>
      <c r="T50" s="10"/>
      <c r="U50" s="253"/>
      <c r="V50" s="253"/>
      <c r="W50" s="253"/>
      <c r="X50" s="253"/>
      <c r="Y50" s="253"/>
      <c r="Z50" s="253"/>
      <c r="AA50" s="253"/>
      <c r="AB50" s="12"/>
    </row>
    <row r="51" spans="1:28" ht="23.55" customHeight="1">
      <c r="A51" s="9"/>
      <c r="B51" s="1020"/>
      <c r="C51" s="1021"/>
      <c r="D51" s="1021"/>
      <c r="E51" s="1021"/>
      <c r="F51" s="1021"/>
      <c r="G51" s="1021"/>
      <c r="H51" s="1022"/>
      <c r="I51" s="11"/>
      <c r="J51" s="1026"/>
      <c r="K51" s="1027"/>
      <c r="L51" s="1027"/>
      <c r="M51" s="1027"/>
      <c r="N51" s="1027"/>
      <c r="O51" s="1027"/>
      <c r="P51" s="1028"/>
      <c r="Q51" s="10"/>
      <c r="R51" s="253"/>
      <c r="S51" s="253"/>
      <c r="T51" s="10"/>
      <c r="U51" s="10"/>
      <c r="V51" s="10"/>
      <c r="W51" s="10"/>
      <c r="X51" s="10"/>
      <c r="Y51" s="10"/>
      <c r="Z51" s="10"/>
      <c r="AA51" s="10"/>
      <c r="AB51" s="12"/>
    </row>
    <row r="52" spans="1:28" ht="23.55" customHeight="1">
      <c r="A52" s="9"/>
      <c r="B52" s="1020"/>
      <c r="C52" s="1021"/>
      <c r="D52" s="1021"/>
      <c r="E52" s="1021"/>
      <c r="F52" s="1021"/>
      <c r="G52" s="1021"/>
      <c r="H52" s="1022"/>
      <c r="I52" s="11"/>
      <c r="J52" s="1026"/>
      <c r="K52" s="1027"/>
      <c r="L52" s="1027"/>
      <c r="M52" s="1027"/>
      <c r="N52" s="1027"/>
      <c r="O52" s="1027"/>
      <c r="P52" s="1028"/>
      <c r="Q52" s="10"/>
      <c r="R52" s="253"/>
      <c r="S52" s="253"/>
      <c r="T52" s="10"/>
      <c r="U52" s="10"/>
      <c r="V52" s="10"/>
      <c r="W52" s="10"/>
      <c r="X52" s="10"/>
      <c r="Y52" s="10"/>
      <c r="Z52" s="10"/>
      <c r="AA52" s="10"/>
      <c r="AB52" s="12"/>
    </row>
    <row r="53" spans="1:28" ht="23.55" customHeight="1">
      <c r="A53" s="9"/>
      <c r="B53" s="1020"/>
      <c r="C53" s="1021"/>
      <c r="D53" s="1021"/>
      <c r="E53" s="1021"/>
      <c r="F53" s="1021"/>
      <c r="G53" s="1021"/>
      <c r="H53" s="1022"/>
      <c r="I53" s="11"/>
      <c r="J53" s="1026"/>
      <c r="K53" s="1027"/>
      <c r="L53" s="1027"/>
      <c r="M53" s="1027"/>
      <c r="N53" s="1027"/>
      <c r="O53" s="1027"/>
      <c r="P53" s="1028"/>
      <c r="Q53" s="10"/>
      <c r="R53" s="253"/>
      <c r="S53" s="253"/>
      <c r="T53" s="10"/>
      <c r="U53" s="10"/>
      <c r="V53" s="10"/>
      <c r="W53" s="10"/>
      <c r="X53" s="10"/>
      <c r="Y53" s="10"/>
      <c r="Z53" s="10"/>
      <c r="AA53" s="10"/>
      <c r="AB53" s="12"/>
    </row>
    <row r="54" spans="1:28" ht="23.55" customHeight="1">
      <c r="A54" s="9"/>
      <c r="B54" s="1020"/>
      <c r="C54" s="1021"/>
      <c r="D54" s="1021"/>
      <c r="E54" s="1021"/>
      <c r="F54" s="1021"/>
      <c r="G54" s="1021"/>
      <c r="H54" s="1022"/>
      <c r="I54" s="11"/>
      <c r="J54" s="1026"/>
      <c r="K54" s="1027"/>
      <c r="L54" s="1027"/>
      <c r="M54" s="1027"/>
      <c r="N54" s="1027"/>
      <c r="O54" s="1027"/>
      <c r="P54" s="1028"/>
      <c r="Q54" s="10"/>
      <c r="R54" s="253"/>
      <c r="S54" s="253"/>
      <c r="T54" s="10"/>
      <c r="U54" s="10"/>
      <c r="V54" s="10"/>
      <c r="W54" s="10"/>
      <c r="X54" s="10"/>
      <c r="Y54" s="10"/>
      <c r="Z54" s="10"/>
      <c r="AA54" s="10"/>
      <c r="AB54" s="12"/>
    </row>
    <row r="55" spans="1:28" ht="23.55" customHeight="1">
      <c r="A55" s="9"/>
      <c r="B55" s="1020"/>
      <c r="C55" s="1021"/>
      <c r="D55" s="1021"/>
      <c r="E55" s="1021"/>
      <c r="F55" s="1021"/>
      <c r="G55" s="1021"/>
      <c r="H55" s="1022"/>
      <c r="I55" s="11"/>
      <c r="J55" s="1026"/>
      <c r="K55" s="1027"/>
      <c r="L55" s="1027"/>
      <c r="M55" s="1027"/>
      <c r="N55" s="1027"/>
      <c r="O55" s="1027"/>
      <c r="P55" s="1028"/>
      <c r="Q55" s="10"/>
      <c r="R55" s="253"/>
      <c r="S55" s="253"/>
      <c r="T55" s="10"/>
      <c r="U55" s="10"/>
      <c r="V55" s="10"/>
      <c r="W55" s="10"/>
      <c r="X55" s="10"/>
      <c r="Y55" s="10"/>
      <c r="Z55" s="10"/>
      <c r="AA55" s="10"/>
      <c r="AB55" s="12"/>
    </row>
    <row r="56" spans="1:28" ht="23.55" customHeight="1">
      <c r="A56" s="9"/>
      <c r="B56" s="1020"/>
      <c r="C56" s="1021"/>
      <c r="D56" s="1021"/>
      <c r="E56" s="1021"/>
      <c r="F56" s="1021"/>
      <c r="G56" s="1021"/>
      <c r="H56" s="1022"/>
      <c r="I56" s="11"/>
      <c r="J56" s="1026"/>
      <c r="K56" s="1027"/>
      <c r="L56" s="1027"/>
      <c r="M56" s="1027"/>
      <c r="N56" s="1027"/>
      <c r="O56" s="1027"/>
      <c r="P56" s="1028"/>
      <c r="Q56" s="10"/>
      <c r="R56" s="10"/>
      <c r="S56" s="253"/>
      <c r="T56" s="253"/>
      <c r="U56" s="253"/>
      <c r="V56" s="253"/>
      <c r="W56" s="253"/>
      <c r="X56" s="253"/>
      <c r="Y56" s="253"/>
      <c r="Z56" s="253"/>
      <c r="AA56" s="253"/>
      <c r="AB56" s="12"/>
    </row>
    <row r="57" spans="1:28" ht="23.55" customHeight="1">
      <c r="A57" s="9"/>
      <c r="B57" s="1020"/>
      <c r="C57" s="1021"/>
      <c r="D57" s="1021"/>
      <c r="E57" s="1021"/>
      <c r="F57" s="1021"/>
      <c r="G57" s="1021"/>
      <c r="H57" s="1022"/>
      <c r="I57" s="11"/>
      <c r="J57" s="1026"/>
      <c r="K57" s="1027"/>
      <c r="L57" s="1027"/>
      <c r="M57" s="1027"/>
      <c r="N57" s="1027"/>
      <c r="O57" s="1027"/>
      <c r="P57" s="1028"/>
      <c r="Q57" s="10"/>
      <c r="R57" s="253"/>
      <c r="S57" s="253"/>
      <c r="T57" s="253"/>
      <c r="U57" s="253"/>
      <c r="V57" s="253"/>
      <c r="W57" s="253"/>
      <c r="X57" s="253"/>
      <c r="Y57" s="253"/>
      <c r="Z57" s="253"/>
      <c r="AA57" s="253"/>
      <c r="AB57" s="12"/>
    </row>
    <row r="58" spans="1:28" ht="23.55" customHeight="1">
      <c r="A58" s="9"/>
      <c r="B58" s="1020"/>
      <c r="C58" s="1021"/>
      <c r="D58" s="1021"/>
      <c r="E58" s="1021"/>
      <c r="F58" s="1021"/>
      <c r="G58" s="1021"/>
      <c r="H58" s="1022"/>
      <c r="I58" s="11"/>
      <c r="J58" s="1026"/>
      <c r="K58" s="1027"/>
      <c r="L58" s="1027"/>
      <c r="M58" s="1027"/>
      <c r="N58" s="1027"/>
      <c r="O58" s="1027"/>
      <c r="P58" s="1028"/>
      <c r="Q58" s="10"/>
      <c r="R58" s="253"/>
      <c r="S58" s="253"/>
      <c r="T58" s="253"/>
      <c r="U58" s="253"/>
      <c r="V58" s="253"/>
      <c r="W58" s="253"/>
      <c r="X58" s="253"/>
      <c r="Y58" s="253"/>
      <c r="Z58" s="253"/>
      <c r="AA58" s="253"/>
      <c r="AB58" s="12"/>
    </row>
    <row r="59" spans="1:28" ht="23.55" customHeight="1">
      <c r="A59" s="9"/>
      <c r="B59" s="1023"/>
      <c r="C59" s="1024"/>
      <c r="D59" s="1024"/>
      <c r="E59" s="1024"/>
      <c r="F59" s="1024"/>
      <c r="G59" s="1024"/>
      <c r="H59" s="1025"/>
      <c r="I59" s="11"/>
      <c r="J59" s="1029"/>
      <c r="K59" s="1030"/>
      <c r="L59" s="1030"/>
      <c r="M59" s="1030"/>
      <c r="N59" s="1030"/>
      <c r="O59" s="1030"/>
      <c r="P59" s="1031"/>
      <c r="Q59" s="10"/>
      <c r="R59" s="253"/>
      <c r="S59" s="253"/>
      <c r="T59" s="253"/>
      <c r="U59" s="253"/>
      <c r="V59" s="253"/>
      <c r="W59" s="253"/>
      <c r="X59" s="253"/>
      <c r="Y59" s="253"/>
      <c r="Z59" s="253"/>
      <c r="AA59" s="253"/>
      <c r="AB59" s="12"/>
    </row>
    <row r="60" spans="1:28">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row>
    <row r="61" spans="1:28" ht="21">
      <c r="A61" s="9"/>
      <c r="B61" s="1032" t="s">
        <v>483</v>
      </c>
      <c r="C61" s="1033"/>
      <c r="D61" s="1033"/>
      <c r="E61" s="1033"/>
      <c r="F61" s="1033"/>
      <c r="G61" s="1033"/>
      <c r="H61" s="1033"/>
      <c r="I61" s="1033"/>
      <c r="J61" s="1033"/>
      <c r="K61" s="1033"/>
      <c r="L61" s="1033"/>
      <c r="M61" s="1033"/>
      <c r="N61" s="1033"/>
      <c r="O61" s="1033"/>
      <c r="P61" s="1034"/>
      <c r="Q61" s="10"/>
      <c r="R61" s="1036" t="str">
        <f>Milestone_3!S124</f>
        <v>0/25</v>
      </c>
      <c r="S61" s="1037"/>
      <c r="T61" s="10"/>
      <c r="U61" s="10"/>
      <c r="V61" s="10"/>
      <c r="W61" s="10"/>
      <c r="X61" s="10"/>
      <c r="Y61" s="10"/>
      <c r="Z61" s="10"/>
      <c r="AA61" s="10"/>
      <c r="AB61" s="12"/>
    </row>
    <row r="62" spans="1:28" ht="15.6">
      <c r="A62" s="9"/>
      <c r="B62" s="267"/>
      <c r="C62" s="267"/>
      <c r="D62" s="267"/>
      <c r="E62" s="267"/>
      <c r="F62" s="267"/>
      <c r="G62" s="267"/>
      <c r="H62" s="18"/>
      <c r="I62" s="18"/>
      <c r="J62" s="10"/>
      <c r="K62" s="10"/>
      <c r="L62" s="10"/>
      <c r="M62" s="10"/>
      <c r="N62" s="10"/>
      <c r="O62" s="10"/>
      <c r="P62" s="10"/>
      <c r="Q62" s="10"/>
      <c r="R62" s="10"/>
      <c r="S62" s="10"/>
      <c r="T62" s="10"/>
      <c r="U62" s="10"/>
      <c r="V62" s="10"/>
      <c r="W62" s="10"/>
      <c r="X62" s="10"/>
      <c r="Y62" s="10"/>
      <c r="Z62" s="10"/>
      <c r="AA62" s="10"/>
      <c r="AB62" s="12"/>
    </row>
    <row r="63" spans="1:28" ht="15.6">
      <c r="A63" s="9"/>
      <c r="B63" s="1009" t="s">
        <v>1178</v>
      </c>
      <c r="C63" s="1010"/>
      <c r="D63" s="1010"/>
      <c r="E63" s="1010"/>
      <c r="F63" s="1010"/>
      <c r="G63" s="1010"/>
      <c r="H63" s="1011"/>
      <c r="I63" s="10"/>
      <c r="J63" s="1001" t="s">
        <v>803</v>
      </c>
      <c r="K63" s="1002"/>
      <c r="L63" s="1002"/>
      <c r="M63" s="1002"/>
      <c r="N63" s="1002"/>
      <c r="O63" s="1002"/>
      <c r="P63" s="1003"/>
      <c r="Q63" s="10"/>
      <c r="R63" s="323"/>
      <c r="S63" s="253"/>
      <c r="T63" s="10"/>
      <c r="U63" s="253"/>
      <c r="V63" s="253"/>
      <c r="W63" s="253"/>
      <c r="X63" s="253"/>
      <c r="Y63" s="253"/>
      <c r="Z63" s="253"/>
      <c r="AA63" s="253"/>
      <c r="AB63" s="12"/>
    </row>
    <row r="64" spans="1:28" ht="39.450000000000003" customHeight="1">
      <c r="A64" s="9"/>
      <c r="B64" s="1020" t="str">
        <f>IF(AE14=0,"FILL OUT MILESTONE 3 QUESTIONNAIRE",Milestone_Results_Summary!I17)</f>
        <v>FILL OUT MILESTONE 3 QUESTIONNAIRE</v>
      </c>
      <c r="C64" s="1021"/>
      <c r="D64" s="1021"/>
      <c r="E64" s="1021"/>
      <c r="F64" s="1021"/>
      <c r="G64" s="1021"/>
      <c r="H64" s="1022"/>
      <c r="I64" s="18"/>
      <c r="J64" s="1026" t="str">
        <f>IF(AE14=0,"FILL OUT MILESTONE 3 QUESTIONNAIRE",Milestone_Results_Summary!J24)</f>
        <v>FILL OUT MILESTONE 3 QUESTIONNAIRE</v>
      </c>
      <c r="K64" s="1027"/>
      <c r="L64" s="1027"/>
      <c r="M64" s="1027"/>
      <c r="N64" s="1027"/>
      <c r="O64" s="1027"/>
      <c r="P64" s="1028"/>
      <c r="Q64" s="10"/>
      <c r="R64" s="253"/>
      <c r="S64" s="253"/>
      <c r="T64" s="10"/>
      <c r="U64" s="253"/>
      <c r="V64" s="253"/>
      <c r="W64" s="253"/>
      <c r="X64" s="253"/>
      <c r="Y64" s="253"/>
      <c r="Z64" s="253"/>
      <c r="AA64" s="253"/>
      <c r="AB64" s="12"/>
    </row>
    <row r="65" spans="1:28" ht="39.450000000000003" customHeight="1">
      <c r="A65" s="9"/>
      <c r="B65" s="1020"/>
      <c r="C65" s="1021"/>
      <c r="D65" s="1021"/>
      <c r="E65" s="1021"/>
      <c r="F65" s="1021"/>
      <c r="G65" s="1021"/>
      <c r="H65" s="1022"/>
      <c r="I65" s="18"/>
      <c r="J65" s="1026"/>
      <c r="K65" s="1027"/>
      <c r="L65" s="1027"/>
      <c r="M65" s="1027"/>
      <c r="N65" s="1027"/>
      <c r="O65" s="1027"/>
      <c r="P65" s="1028"/>
      <c r="Q65" s="10"/>
      <c r="R65" s="253"/>
      <c r="S65" s="253"/>
      <c r="T65" s="10"/>
      <c r="U65" s="253"/>
      <c r="V65" s="253"/>
      <c r="W65" s="253"/>
      <c r="X65" s="253"/>
      <c r="Y65" s="253"/>
      <c r="Z65" s="253"/>
      <c r="AA65" s="253"/>
      <c r="AB65" s="12"/>
    </row>
    <row r="66" spans="1:28" ht="39.450000000000003" customHeight="1">
      <c r="A66" s="9"/>
      <c r="B66" s="1020"/>
      <c r="C66" s="1021"/>
      <c r="D66" s="1021"/>
      <c r="E66" s="1021"/>
      <c r="F66" s="1021"/>
      <c r="G66" s="1021"/>
      <c r="H66" s="1022"/>
      <c r="I66" s="18"/>
      <c r="J66" s="1026"/>
      <c r="K66" s="1027"/>
      <c r="L66" s="1027"/>
      <c r="M66" s="1027"/>
      <c r="N66" s="1027"/>
      <c r="O66" s="1027"/>
      <c r="P66" s="1028"/>
      <c r="Q66" s="10"/>
      <c r="R66" s="253"/>
      <c r="S66" s="253"/>
      <c r="T66" s="10"/>
      <c r="U66" s="253"/>
      <c r="V66" s="253"/>
      <c r="W66" s="253"/>
      <c r="X66" s="253"/>
      <c r="Y66" s="253"/>
      <c r="Z66" s="253"/>
      <c r="AA66" s="253"/>
      <c r="AB66" s="12"/>
    </row>
    <row r="67" spans="1:28" ht="39.450000000000003" customHeight="1">
      <c r="A67" s="9"/>
      <c r="B67" s="1020"/>
      <c r="C67" s="1021"/>
      <c r="D67" s="1021"/>
      <c r="E67" s="1021"/>
      <c r="F67" s="1021"/>
      <c r="G67" s="1021"/>
      <c r="H67" s="1022"/>
      <c r="I67" s="18"/>
      <c r="J67" s="1026"/>
      <c r="K67" s="1027"/>
      <c r="L67" s="1027"/>
      <c r="M67" s="1027"/>
      <c r="N67" s="1027"/>
      <c r="O67" s="1027"/>
      <c r="P67" s="1028"/>
      <c r="Q67" s="10"/>
      <c r="R67" s="253"/>
      <c r="S67" s="253"/>
      <c r="T67" s="10"/>
      <c r="U67" s="253"/>
      <c r="V67" s="253"/>
      <c r="W67" s="253"/>
      <c r="X67" s="253"/>
      <c r="Y67" s="253"/>
      <c r="Z67" s="253"/>
      <c r="AA67" s="253"/>
      <c r="AB67" s="12"/>
    </row>
    <row r="68" spans="1:28" ht="39.450000000000003" customHeight="1">
      <c r="A68" s="9"/>
      <c r="B68" s="1020"/>
      <c r="C68" s="1021"/>
      <c r="D68" s="1021"/>
      <c r="E68" s="1021"/>
      <c r="F68" s="1021"/>
      <c r="G68" s="1021"/>
      <c r="H68" s="1022"/>
      <c r="I68" s="18"/>
      <c r="J68" s="1026"/>
      <c r="K68" s="1027"/>
      <c r="L68" s="1027"/>
      <c r="M68" s="1027"/>
      <c r="N68" s="1027"/>
      <c r="O68" s="1027"/>
      <c r="P68" s="1028"/>
      <c r="Q68" s="10"/>
      <c r="R68" s="10"/>
      <c r="S68" s="253"/>
      <c r="T68" s="253"/>
      <c r="U68" s="253"/>
      <c r="V68" s="253"/>
      <c r="W68" s="253"/>
      <c r="X68" s="253"/>
      <c r="Y68" s="253"/>
      <c r="Z68" s="253"/>
      <c r="AA68" s="253"/>
      <c r="AB68" s="12"/>
    </row>
    <row r="69" spans="1:28" ht="39.450000000000003" customHeight="1">
      <c r="A69" s="9"/>
      <c r="B69" s="1020"/>
      <c r="C69" s="1021"/>
      <c r="D69" s="1021"/>
      <c r="E69" s="1021"/>
      <c r="F69" s="1021"/>
      <c r="G69" s="1021"/>
      <c r="H69" s="1022"/>
      <c r="I69" s="18"/>
      <c r="J69" s="1026"/>
      <c r="K69" s="1027"/>
      <c r="L69" s="1027"/>
      <c r="M69" s="1027"/>
      <c r="N69" s="1027"/>
      <c r="O69" s="1027"/>
      <c r="P69" s="1028"/>
      <c r="Q69" s="10"/>
      <c r="R69" s="253"/>
      <c r="S69" s="253"/>
      <c r="T69" s="253"/>
      <c r="U69" s="253"/>
      <c r="V69" s="253"/>
      <c r="W69" s="253"/>
      <c r="X69" s="253"/>
      <c r="Y69" s="253"/>
      <c r="Z69" s="253"/>
      <c r="AA69" s="253"/>
      <c r="AB69" s="12"/>
    </row>
    <row r="70" spans="1:28" ht="39.450000000000003" customHeight="1">
      <c r="A70" s="9"/>
      <c r="B70" s="1020"/>
      <c r="C70" s="1021"/>
      <c r="D70" s="1021"/>
      <c r="E70" s="1021"/>
      <c r="F70" s="1021"/>
      <c r="G70" s="1021"/>
      <c r="H70" s="1022"/>
      <c r="I70" s="18"/>
      <c r="J70" s="1026"/>
      <c r="K70" s="1027"/>
      <c r="L70" s="1027"/>
      <c r="M70" s="1027"/>
      <c r="N70" s="1027"/>
      <c r="O70" s="1027"/>
      <c r="P70" s="1028"/>
      <c r="Q70" s="10"/>
      <c r="R70" s="253"/>
      <c r="S70" s="253"/>
      <c r="T70" s="253"/>
      <c r="U70" s="253"/>
      <c r="V70" s="253"/>
      <c r="W70" s="253"/>
      <c r="X70" s="253"/>
      <c r="Y70" s="253"/>
      <c r="Z70" s="253"/>
      <c r="AA70" s="253"/>
      <c r="AB70" s="12"/>
    </row>
    <row r="71" spans="1:28" ht="39.450000000000003" customHeight="1">
      <c r="A71" s="9"/>
      <c r="B71" s="1020"/>
      <c r="C71" s="1021"/>
      <c r="D71" s="1021"/>
      <c r="E71" s="1021"/>
      <c r="F71" s="1021"/>
      <c r="G71" s="1021"/>
      <c r="H71" s="1022"/>
      <c r="I71" s="18"/>
      <c r="J71" s="1026"/>
      <c r="K71" s="1027"/>
      <c r="L71" s="1027"/>
      <c r="M71" s="1027"/>
      <c r="N71" s="1027"/>
      <c r="O71" s="1027"/>
      <c r="P71" s="1028"/>
      <c r="Q71" s="10"/>
      <c r="R71" s="253"/>
      <c r="S71" s="253"/>
      <c r="T71" s="253"/>
      <c r="U71" s="253"/>
      <c r="V71" s="253"/>
      <c r="W71" s="253"/>
      <c r="X71" s="253"/>
      <c r="Y71" s="253"/>
      <c r="Z71" s="253"/>
      <c r="AA71" s="253"/>
      <c r="AB71" s="12"/>
    </row>
    <row r="72" spans="1:28" ht="39.450000000000003" customHeight="1">
      <c r="A72" s="9"/>
      <c r="B72" s="1020"/>
      <c r="C72" s="1021"/>
      <c r="D72" s="1021"/>
      <c r="E72" s="1021"/>
      <c r="F72" s="1021"/>
      <c r="G72" s="1021"/>
      <c r="H72" s="1022"/>
      <c r="I72" s="18"/>
      <c r="J72" s="1026"/>
      <c r="K72" s="1027"/>
      <c r="L72" s="1027"/>
      <c r="M72" s="1027"/>
      <c r="N72" s="1027"/>
      <c r="O72" s="1027"/>
      <c r="P72" s="1028"/>
      <c r="Q72" s="10"/>
      <c r="R72" s="253"/>
      <c r="S72" s="253"/>
      <c r="T72" s="253"/>
      <c r="U72" s="253"/>
      <c r="V72" s="253"/>
      <c r="W72" s="253"/>
      <c r="X72" s="253"/>
      <c r="Y72" s="253"/>
      <c r="Z72" s="253"/>
      <c r="AA72" s="253"/>
      <c r="AB72" s="12"/>
    </row>
    <row r="73" spans="1:28" ht="39.450000000000003" customHeight="1">
      <c r="A73" s="9"/>
      <c r="B73" s="1020"/>
      <c r="C73" s="1021"/>
      <c r="D73" s="1021"/>
      <c r="E73" s="1021"/>
      <c r="F73" s="1021"/>
      <c r="G73" s="1021"/>
      <c r="H73" s="1022"/>
      <c r="I73" s="18"/>
      <c r="J73" s="1026"/>
      <c r="K73" s="1027"/>
      <c r="L73" s="1027"/>
      <c r="M73" s="1027"/>
      <c r="N73" s="1027"/>
      <c r="O73" s="1027"/>
      <c r="P73" s="1028"/>
      <c r="Q73" s="10"/>
      <c r="R73" s="253"/>
      <c r="S73" s="253"/>
      <c r="T73" s="253"/>
      <c r="U73" s="253"/>
      <c r="V73" s="253"/>
      <c r="W73" s="253"/>
      <c r="X73" s="253"/>
      <c r="Y73" s="253"/>
      <c r="Z73" s="253"/>
      <c r="AA73" s="253"/>
      <c r="AB73" s="12"/>
    </row>
    <row r="74" spans="1:28" ht="39.450000000000003" customHeight="1">
      <c r="A74" s="9"/>
      <c r="B74" s="1020"/>
      <c r="C74" s="1021"/>
      <c r="D74" s="1021"/>
      <c r="E74" s="1021"/>
      <c r="F74" s="1021"/>
      <c r="G74" s="1021"/>
      <c r="H74" s="1022"/>
      <c r="I74" s="18"/>
      <c r="J74" s="1026"/>
      <c r="K74" s="1027"/>
      <c r="L74" s="1027"/>
      <c r="M74" s="1027"/>
      <c r="N74" s="1027"/>
      <c r="O74" s="1027"/>
      <c r="P74" s="1028"/>
      <c r="Q74" s="10"/>
      <c r="R74" s="253"/>
      <c r="S74" s="253"/>
      <c r="T74" s="253"/>
      <c r="U74" s="253"/>
      <c r="V74" s="253"/>
      <c r="W74" s="253"/>
      <c r="X74" s="253"/>
      <c r="Y74" s="253"/>
      <c r="Z74" s="253"/>
      <c r="AA74" s="253"/>
      <c r="AB74" s="12"/>
    </row>
    <row r="75" spans="1:28" ht="39.450000000000003" customHeight="1">
      <c r="A75" s="9"/>
      <c r="B75" s="1020"/>
      <c r="C75" s="1021"/>
      <c r="D75" s="1021"/>
      <c r="E75" s="1021"/>
      <c r="F75" s="1021"/>
      <c r="G75" s="1021"/>
      <c r="H75" s="1022"/>
      <c r="I75" s="18"/>
      <c r="J75" s="1026"/>
      <c r="K75" s="1027"/>
      <c r="L75" s="1027"/>
      <c r="M75" s="1027"/>
      <c r="N75" s="1027"/>
      <c r="O75" s="1027"/>
      <c r="P75" s="1028"/>
      <c r="Q75" s="10"/>
      <c r="R75" s="253"/>
      <c r="S75" s="253"/>
      <c r="T75" s="253"/>
      <c r="U75" s="253"/>
      <c r="V75" s="253"/>
      <c r="W75" s="253"/>
      <c r="X75" s="253"/>
      <c r="Y75" s="253"/>
      <c r="Z75" s="253"/>
      <c r="AA75" s="253"/>
      <c r="AB75" s="12"/>
    </row>
    <row r="76" spans="1:28" ht="61.95" customHeight="1">
      <c r="A76" s="9"/>
      <c r="B76" s="1023"/>
      <c r="C76" s="1024"/>
      <c r="D76" s="1024"/>
      <c r="E76" s="1024"/>
      <c r="F76" s="1024"/>
      <c r="G76" s="1024"/>
      <c r="H76" s="1025"/>
      <c r="I76" s="18"/>
      <c r="J76" s="1029"/>
      <c r="K76" s="1030"/>
      <c r="L76" s="1030"/>
      <c r="M76" s="1030"/>
      <c r="N76" s="1030"/>
      <c r="O76" s="1030"/>
      <c r="P76" s="1031"/>
      <c r="Q76" s="10"/>
      <c r="R76" s="253"/>
      <c r="S76" s="253"/>
      <c r="T76" s="253"/>
      <c r="U76" s="253"/>
      <c r="V76" s="253"/>
      <c r="W76" s="253"/>
      <c r="X76" s="253"/>
      <c r="Y76" s="253"/>
      <c r="Z76" s="253"/>
      <c r="AA76" s="253"/>
      <c r="AB76" s="12"/>
    </row>
    <row r="77" spans="1:28">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2"/>
    </row>
    <row r="78" spans="1:28" ht="21">
      <c r="A78" s="9"/>
      <c r="B78" s="1032" t="s">
        <v>65</v>
      </c>
      <c r="C78" s="1033"/>
      <c r="D78" s="1033"/>
      <c r="E78" s="1033"/>
      <c r="F78" s="1033"/>
      <c r="G78" s="1033"/>
      <c r="H78" s="1033"/>
      <c r="I78" s="1033"/>
      <c r="J78" s="1033"/>
      <c r="K78" s="1033"/>
      <c r="L78" s="1033"/>
      <c r="M78" s="1033"/>
      <c r="N78" s="1033"/>
      <c r="O78" s="1033"/>
      <c r="P78" s="1034"/>
      <c r="Q78" s="10"/>
      <c r="R78" s="1036" t="str">
        <f>Milestone_4!AB98</f>
        <v>0/22</v>
      </c>
      <c r="S78" s="1037"/>
      <c r="T78" s="10"/>
      <c r="U78" s="10"/>
      <c r="V78" s="10"/>
      <c r="W78" s="10"/>
      <c r="X78" s="10"/>
      <c r="Y78" s="10"/>
      <c r="Z78" s="10"/>
      <c r="AA78" s="10"/>
      <c r="AB78" s="12"/>
    </row>
    <row r="79" spans="1:28" ht="15.6">
      <c r="A79" s="9"/>
      <c r="B79" s="267"/>
      <c r="C79" s="267"/>
      <c r="D79" s="267"/>
      <c r="E79" s="267"/>
      <c r="F79" s="267"/>
      <c r="G79" s="267"/>
      <c r="H79" s="18"/>
      <c r="I79" s="18"/>
      <c r="J79" s="10"/>
      <c r="K79" s="10"/>
      <c r="L79" s="10"/>
      <c r="M79" s="10"/>
      <c r="N79" s="10"/>
      <c r="O79" s="10"/>
      <c r="P79" s="10"/>
      <c r="Q79" s="10"/>
      <c r="R79" s="10"/>
      <c r="S79" s="10"/>
      <c r="T79" s="10"/>
      <c r="U79" s="10"/>
      <c r="V79" s="10"/>
      <c r="W79" s="10"/>
      <c r="X79" s="10"/>
      <c r="Y79" s="320"/>
      <c r="Z79" s="10"/>
      <c r="AA79" s="10"/>
      <c r="AB79" s="12"/>
    </row>
    <row r="80" spans="1:28" ht="15.6">
      <c r="A80" s="9"/>
      <c r="B80" s="1009" t="s">
        <v>1178</v>
      </c>
      <c r="C80" s="1010"/>
      <c r="D80" s="1010"/>
      <c r="E80" s="1010"/>
      <c r="F80" s="1010"/>
      <c r="G80" s="1010"/>
      <c r="H80" s="1011"/>
      <c r="I80" s="10"/>
      <c r="J80" s="1001" t="s">
        <v>803</v>
      </c>
      <c r="K80" s="1002"/>
      <c r="L80" s="1002"/>
      <c r="M80" s="1002"/>
      <c r="N80" s="1002"/>
      <c r="O80" s="1002"/>
      <c r="P80" s="1003"/>
      <c r="Q80" s="10"/>
      <c r="R80" s="324"/>
      <c r="S80" s="253"/>
      <c r="T80" s="10"/>
      <c r="U80" s="10"/>
      <c r="V80" s="10"/>
      <c r="W80" s="10"/>
      <c r="X80" s="10"/>
      <c r="Y80" s="10"/>
      <c r="Z80" s="10"/>
      <c r="AA80" s="10"/>
      <c r="AB80" s="12"/>
    </row>
    <row r="81" spans="1:28" ht="39.450000000000003" customHeight="1">
      <c r="A81" s="9"/>
      <c r="B81" s="1020" t="str">
        <f>IF(AE15=0,"FILL OUT MILESTONE 4 QUESTIONNAIRE",Milestone_Results_Summary!I24)</f>
        <v>FILL OUT MILESTONE 4 QUESTIONNAIRE</v>
      </c>
      <c r="C81" s="1021"/>
      <c r="D81" s="1021"/>
      <c r="E81" s="1021"/>
      <c r="F81" s="1021"/>
      <c r="G81" s="1021"/>
      <c r="H81" s="1022"/>
      <c r="I81" s="18"/>
      <c r="J81" s="1026" t="str">
        <f>IF(AE15=0,"FILL OUT MILESTONE 4 QUESTIONNAIRE",Milestone_Results_Summary!J24)</f>
        <v>FILL OUT MILESTONE 4 QUESTIONNAIRE</v>
      </c>
      <c r="K81" s="1027"/>
      <c r="L81" s="1027"/>
      <c r="M81" s="1027"/>
      <c r="N81" s="1027"/>
      <c r="O81" s="1027"/>
      <c r="P81" s="1028"/>
      <c r="Q81" s="10"/>
      <c r="R81" s="253"/>
      <c r="S81" s="253"/>
      <c r="T81" s="10"/>
      <c r="U81" s="253"/>
      <c r="V81" s="253"/>
      <c r="W81" s="253"/>
      <c r="X81" s="253"/>
      <c r="Y81" s="253"/>
      <c r="Z81" s="253"/>
      <c r="AA81" s="253"/>
      <c r="AB81" s="12"/>
    </row>
    <row r="82" spans="1:28" ht="39.450000000000003" customHeight="1">
      <c r="A82" s="9"/>
      <c r="B82" s="1020"/>
      <c r="C82" s="1021"/>
      <c r="D82" s="1021"/>
      <c r="E82" s="1021"/>
      <c r="F82" s="1021"/>
      <c r="G82" s="1021"/>
      <c r="H82" s="1022"/>
      <c r="I82" s="18"/>
      <c r="J82" s="1026"/>
      <c r="K82" s="1027"/>
      <c r="L82" s="1027"/>
      <c r="M82" s="1027"/>
      <c r="N82" s="1027"/>
      <c r="O82" s="1027"/>
      <c r="P82" s="1028"/>
      <c r="Q82" s="10"/>
      <c r="R82" s="253"/>
      <c r="S82" s="253"/>
      <c r="T82" s="10"/>
      <c r="U82" s="253"/>
      <c r="V82" s="253"/>
      <c r="W82" s="253"/>
      <c r="X82" s="253"/>
      <c r="Y82" s="253"/>
      <c r="Z82" s="253"/>
      <c r="AA82" s="253"/>
      <c r="AB82" s="12"/>
    </row>
    <row r="83" spans="1:28" ht="39.450000000000003" customHeight="1">
      <c r="A83" s="9"/>
      <c r="B83" s="1020"/>
      <c r="C83" s="1021"/>
      <c r="D83" s="1021"/>
      <c r="E83" s="1021"/>
      <c r="F83" s="1021"/>
      <c r="G83" s="1021"/>
      <c r="H83" s="1022"/>
      <c r="I83" s="18"/>
      <c r="J83" s="1026"/>
      <c r="K83" s="1027"/>
      <c r="L83" s="1027"/>
      <c r="M83" s="1027"/>
      <c r="N83" s="1027"/>
      <c r="O83" s="1027"/>
      <c r="P83" s="1028"/>
      <c r="Q83" s="10"/>
      <c r="R83" s="253"/>
      <c r="S83" s="253"/>
      <c r="T83" s="10"/>
      <c r="U83" s="253"/>
      <c r="V83" s="253"/>
      <c r="W83" s="253"/>
      <c r="X83" s="253"/>
      <c r="Y83" s="253"/>
      <c r="Z83" s="253"/>
      <c r="AA83" s="253"/>
      <c r="AB83" s="12"/>
    </row>
    <row r="84" spans="1:28" ht="39.450000000000003" customHeight="1">
      <c r="A84" s="9"/>
      <c r="B84" s="1020"/>
      <c r="C84" s="1021"/>
      <c r="D84" s="1021"/>
      <c r="E84" s="1021"/>
      <c r="F84" s="1021"/>
      <c r="G84" s="1021"/>
      <c r="H84" s="1022"/>
      <c r="I84" s="18"/>
      <c r="J84" s="1026"/>
      <c r="K84" s="1027"/>
      <c r="L84" s="1027"/>
      <c r="M84" s="1027"/>
      <c r="N84" s="1027"/>
      <c r="O84" s="1027"/>
      <c r="P84" s="1028"/>
      <c r="Q84" s="10"/>
      <c r="R84" s="253"/>
      <c r="S84" s="253"/>
      <c r="T84" s="10"/>
      <c r="U84" s="253"/>
      <c r="V84" s="253"/>
      <c r="W84" s="253"/>
      <c r="X84" s="253"/>
      <c r="Y84" s="253"/>
      <c r="Z84" s="253"/>
      <c r="AA84" s="253"/>
      <c r="AB84" s="12"/>
    </row>
    <row r="85" spans="1:28" ht="39.450000000000003" customHeight="1">
      <c r="A85" s="9"/>
      <c r="B85" s="1020"/>
      <c r="C85" s="1021"/>
      <c r="D85" s="1021"/>
      <c r="E85" s="1021"/>
      <c r="F85" s="1021"/>
      <c r="G85" s="1021"/>
      <c r="H85" s="1022"/>
      <c r="I85" s="18"/>
      <c r="J85" s="1026"/>
      <c r="K85" s="1027"/>
      <c r="L85" s="1027"/>
      <c r="M85" s="1027"/>
      <c r="N85" s="1027"/>
      <c r="O85" s="1027"/>
      <c r="P85" s="1028"/>
      <c r="Q85" s="10"/>
      <c r="R85" s="10"/>
      <c r="S85" s="253"/>
      <c r="T85" s="253"/>
      <c r="U85" s="253"/>
      <c r="V85" s="253"/>
      <c r="W85" s="253"/>
      <c r="X85" s="253"/>
      <c r="Y85" s="253"/>
      <c r="Z85" s="253"/>
      <c r="AA85" s="253"/>
      <c r="AB85" s="12"/>
    </row>
    <row r="86" spans="1:28" ht="39.450000000000003" customHeight="1">
      <c r="A86" s="9"/>
      <c r="B86" s="1020"/>
      <c r="C86" s="1021"/>
      <c r="D86" s="1021"/>
      <c r="E86" s="1021"/>
      <c r="F86" s="1021"/>
      <c r="G86" s="1021"/>
      <c r="H86" s="1022"/>
      <c r="I86" s="18"/>
      <c r="J86" s="1026"/>
      <c r="K86" s="1027"/>
      <c r="L86" s="1027"/>
      <c r="M86" s="1027"/>
      <c r="N86" s="1027"/>
      <c r="O86" s="1027"/>
      <c r="P86" s="1028"/>
      <c r="Q86" s="10"/>
      <c r="R86" s="253"/>
      <c r="S86" s="253"/>
      <c r="T86" s="253"/>
      <c r="U86" s="253"/>
      <c r="V86" s="253"/>
      <c r="W86" s="253"/>
      <c r="X86" s="253"/>
      <c r="Y86" s="253"/>
      <c r="Z86" s="253"/>
      <c r="AA86" s="253"/>
      <c r="AB86" s="12"/>
    </row>
    <row r="87" spans="1:28" ht="39.450000000000003" customHeight="1">
      <c r="A87" s="9"/>
      <c r="B87" s="1020"/>
      <c r="C87" s="1021"/>
      <c r="D87" s="1021"/>
      <c r="E87" s="1021"/>
      <c r="F87" s="1021"/>
      <c r="G87" s="1021"/>
      <c r="H87" s="1022"/>
      <c r="I87" s="18"/>
      <c r="J87" s="1026"/>
      <c r="K87" s="1027"/>
      <c r="L87" s="1027"/>
      <c r="M87" s="1027"/>
      <c r="N87" s="1027"/>
      <c r="O87" s="1027"/>
      <c r="P87" s="1028"/>
      <c r="Q87" s="10"/>
      <c r="R87" s="253"/>
      <c r="S87" s="253"/>
      <c r="T87" s="253"/>
      <c r="U87" s="253"/>
      <c r="V87" s="253"/>
      <c r="W87" s="253"/>
      <c r="X87" s="253"/>
      <c r="Y87" s="253"/>
      <c r="Z87" s="253"/>
      <c r="AA87" s="253"/>
      <c r="AB87" s="12"/>
    </row>
    <row r="88" spans="1:28" ht="39.450000000000003" customHeight="1">
      <c r="A88" s="9"/>
      <c r="B88" s="1020"/>
      <c r="C88" s="1021"/>
      <c r="D88" s="1021"/>
      <c r="E88" s="1021"/>
      <c r="F88" s="1021"/>
      <c r="G88" s="1021"/>
      <c r="H88" s="1022"/>
      <c r="I88" s="18"/>
      <c r="J88" s="1026"/>
      <c r="K88" s="1027"/>
      <c r="L88" s="1027"/>
      <c r="M88" s="1027"/>
      <c r="N88" s="1027"/>
      <c r="O88" s="1027"/>
      <c r="P88" s="1028"/>
      <c r="Q88" s="10"/>
      <c r="R88" s="253"/>
      <c r="S88" s="253"/>
      <c r="T88" s="253"/>
      <c r="U88" s="253"/>
      <c r="V88" s="253"/>
      <c r="W88" s="253"/>
      <c r="X88" s="253"/>
      <c r="Y88" s="253"/>
      <c r="Z88" s="253"/>
      <c r="AA88" s="253"/>
      <c r="AB88" s="12"/>
    </row>
    <row r="89" spans="1:28" ht="39.450000000000003" customHeight="1">
      <c r="A89" s="9"/>
      <c r="B89" s="1020"/>
      <c r="C89" s="1021"/>
      <c r="D89" s="1021"/>
      <c r="E89" s="1021"/>
      <c r="F89" s="1021"/>
      <c r="G89" s="1021"/>
      <c r="H89" s="1022"/>
      <c r="I89" s="18"/>
      <c r="J89" s="1026"/>
      <c r="K89" s="1027"/>
      <c r="L89" s="1027"/>
      <c r="M89" s="1027"/>
      <c r="N89" s="1027"/>
      <c r="O89" s="1027"/>
      <c r="P89" s="1028"/>
      <c r="Q89" s="10"/>
      <c r="R89" s="253"/>
      <c r="S89" s="253"/>
      <c r="T89" s="253"/>
      <c r="U89" s="253"/>
      <c r="V89" s="253"/>
      <c r="W89" s="253"/>
      <c r="X89" s="253"/>
      <c r="Y89" s="253"/>
      <c r="Z89" s="253"/>
      <c r="AA89" s="253"/>
      <c r="AB89" s="12"/>
    </row>
    <row r="90" spans="1:28" ht="39.450000000000003" customHeight="1">
      <c r="A90" s="9"/>
      <c r="B90" s="1020"/>
      <c r="C90" s="1021"/>
      <c r="D90" s="1021"/>
      <c r="E90" s="1021"/>
      <c r="F90" s="1021"/>
      <c r="G90" s="1021"/>
      <c r="H90" s="1022"/>
      <c r="I90" s="18"/>
      <c r="J90" s="1026"/>
      <c r="K90" s="1027"/>
      <c r="L90" s="1027"/>
      <c r="M90" s="1027"/>
      <c r="N90" s="1027"/>
      <c r="O90" s="1027"/>
      <c r="P90" s="1028"/>
      <c r="Q90" s="10"/>
      <c r="R90" s="253"/>
      <c r="S90" s="253"/>
      <c r="T90" s="253"/>
      <c r="U90" s="253"/>
      <c r="V90" s="253"/>
      <c r="W90" s="253"/>
      <c r="X90" s="253"/>
      <c r="Y90" s="253"/>
      <c r="Z90" s="253"/>
      <c r="AA90" s="253"/>
      <c r="AB90" s="12"/>
    </row>
    <row r="91" spans="1:28" ht="39.450000000000003" customHeight="1">
      <c r="A91" s="9"/>
      <c r="B91" s="1020"/>
      <c r="C91" s="1021"/>
      <c r="D91" s="1021"/>
      <c r="E91" s="1021"/>
      <c r="F91" s="1021"/>
      <c r="G91" s="1021"/>
      <c r="H91" s="1022"/>
      <c r="I91" s="18"/>
      <c r="J91" s="1026"/>
      <c r="K91" s="1027"/>
      <c r="L91" s="1027"/>
      <c r="M91" s="1027"/>
      <c r="N91" s="1027"/>
      <c r="O91" s="1027"/>
      <c r="P91" s="1028"/>
      <c r="Q91" s="10"/>
      <c r="R91" s="253"/>
      <c r="S91" s="253"/>
      <c r="T91" s="253"/>
      <c r="U91" s="253"/>
      <c r="V91" s="253"/>
      <c r="W91" s="253"/>
      <c r="X91" s="253"/>
      <c r="Y91" s="253"/>
      <c r="Z91" s="253"/>
      <c r="AA91" s="253"/>
      <c r="AB91" s="12"/>
    </row>
    <row r="92" spans="1:28" ht="39.450000000000003" customHeight="1">
      <c r="A92" s="9"/>
      <c r="B92" s="1020"/>
      <c r="C92" s="1021"/>
      <c r="D92" s="1021"/>
      <c r="E92" s="1021"/>
      <c r="F92" s="1021"/>
      <c r="G92" s="1021"/>
      <c r="H92" s="1022"/>
      <c r="I92" s="18"/>
      <c r="J92" s="1026"/>
      <c r="K92" s="1027"/>
      <c r="L92" s="1027"/>
      <c r="M92" s="1027"/>
      <c r="N92" s="1027"/>
      <c r="O92" s="1027"/>
      <c r="P92" s="1028"/>
      <c r="Q92" s="10"/>
      <c r="R92" s="253"/>
      <c r="S92" s="253"/>
      <c r="T92" s="253"/>
      <c r="U92" s="253"/>
      <c r="V92" s="253"/>
      <c r="W92" s="253"/>
      <c r="X92" s="253"/>
      <c r="Y92" s="253"/>
      <c r="Z92" s="253"/>
      <c r="AA92" s="253"/>
      <c r="AB92" s="12"/>
    </row>
    <row r="93" spans="1:28" ht="39.450000000000003" customHeight="1">
      <c r="A93" s="9"/>
      <c r="B93" s="1023"/>
      <c r="C93" s="1024"/>
      <c r="D93" s="1024"/>
      <c r="E93" s="1024"/>
      <c r="F93" s="1024"/>
      <c r="G93" s="1024"/>
      <c r="H93" s="1025"/>
      <c r="I93" s="18"/>
      <c r="J93" s="1029"/>
      <c r="K93" s="1030"/>
      <c r="L93" s="1030"/>
      <c r="M93" s="1030"/>
      <c r="N93" s="1030"/>
      <c r="O93" s="1030"/>
      <c r="P93" s="1031"/>
      <c r="Q93" s="10"/>
      <c r="R93" s="253"/>
      <c r="S93" s="253"/>
      <c r="T93" s="253"/>
      <c r="U93" s="253"/>
      <c r="V93" s="253"/>
      <c r="W93" s="253"/>
      <c r="X93" s="253"/>
      <c r="Y93" s="253"/>
      <c r="Z93" s="253"/>
      <c r="AA93" s="253"/>
      <c r="AB93" s="12"/>
    </row>
    <row r="94" spans="1:28">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2"/>
    </row>
    <row r="95" spans="1:28" ht="21">
      <c r="A95" s="9"/>
      <c r="B95" s="1032" t="s">
        <v>257</v>
      </c>
      <c r="C95" s="1033"/>
      <c r="D95" s="1033"/>
      <c r="E95" s="1033"/>
      <c r="F95" s="1033"/>
      <c r="G95" s="1033"/>
      <c r="H95" s="1033"/>
      <c r="I95" s="1033"/>
      <c r="J95" s="1033"/>
      <c r="K95" s="1033"/>
      <c r="L95" s="1033"/>
      <c r="M95" s="1033"/>
      <c r="N95" s="1033"/>
      <c r="O95" s="1033"/>
      <c r="P95" s="1034"/>
      <c r="Q95" s="10"/>
      <c r="R95" s="1036" t="str">
        <f>Milestone_5!T120</f>
        <v>0/15</v>
      </c>
      <c r="S95" s="1037"/>
      <c r="T95" s="10"/>
      <c r="U95" s="10"/>
      <c r="V95" s="10"/>
      <c r="W95" s="10"/>
      <c r="X95" s="10"/>
      <c r="Y95" s="320"/>
      <c r="Z95" s="10"/>
      <c r="AA95" s="10"/>
      <c r="AB95" s="12"/>
    </row>
    <row r="96" spans="1:28" ht="15.6">
      <c r="A96" s="9"/>
      <c r="B96" s="267"/>
      <c r="C96" s="267"/>
      <c r="D96" s="267"/>
      <c r="E96" s="267"/>
      <c r="F96" s="267"/>
      <c r="G96" s="267"/>
      <c r="H96" s="18"/>
      <c r="I96" s="18"/>
      <c r="J96" s="10"/>
      <c r="K96" s="10"/>
      <c r="L96" s="10"/>
      <c r="M96" s="10"/>
      <c r="N96" s="10"/>
      <c r="O96" s="10"/>
      <c r="P96" s="10"/>
      <c r="Q96" s="10"/>
      <c r="R96" s="10"/>
      <c r="S96" s="10"/>
      <c r="T96" s="10"/>
      <c r="U96" s="10"/>
      <c r="V96" s="10"/>
      <c r="W96" s="10"/>
      <c r="X96" s="10"/>
      <c r="Y96" s="10"/>
      <c r="Z96" s="10"/>
      <c r="AA96" s="10"/>
      <c r="AB96" s="12"/>
    </row>
    <row r="97" spans="1:28" ht="15.6">
      <c r="A97" s="9"/>
      <c r="B97" s="1009" t="s">
        <v>1178</v>
      </c>
      <c r="C97" s="1010"/>
      <c r="D97" s="1010"/>
      <c r="E97" s="1010"/>
      <c r="F97" s="1010"/>
      <c r="G97" s="1010"/>
      <c r="H97" s="1011"/>
      <c r="I97" s="10"/>
      <c r="J97" s="1001" t="s">
        <v>803</v>
      </c>
      <c r="K97" s="1002"/>
      <c r="L97" s="1002"/>
      <c r="M97" s="1002"/>
      <c r="N97" s="1002"/>
      <c r="O97" s="1002"/>
      <c r="P97" s="1003"/>
      <c r="Q97" s="10"/>
      <c r="R97" s="10"/>
      <c r="S97" s="252"/>
      <c r="T97" s="10"/>
      <c r="U97" s="10"/>
      <c r="V97" s="10"/>
      <c r="W97" s="10"/>
      <c r="X97" s="10"/>
      <c r="Y97" s="10"/>
      <c r="Z97" s="10"/>
      <c r="AA97" s="10"/>
      <c r="AB97" s="12"/>
    </row>
    <row r="98" spans="1:28" ht="31.5" customHeight="1">
      <c r="A98" s="9"/>
      <c r="B98" s="1020" t="str">
        <f>IF(AE16=0,"FILL OUT MILESTONE 5 QUESTIONNAIRE",Milestone_Results_Summary!I30)</f>
        <v>FILL OUT MILESTONE 5 QUESTIONNAIRE</v>
      </c>
      <c r="C98" s="1021"/>
      <c r="D98" s="1021"/>
      <c r="E98" s="1021"/>
      <c r="F98" s="1021"/>
      <c r="G98" s="1021"/>
      <c r="H98" s="1022"/>
      <c r="I98" s="18"/>
      <c r="J98" s="1026" t="str">
        <f>IF(AE16=0,"FILL OUT MILESTONE 5 QUESTIONNAIRE",Milestone_Results_Summary!J30)</f>
        <v>FILL OUT MILESTONE 5 QUESTIONNAIRE</v>
      </c>
      <c r="K98" s="1027"/>
      <c r="L98" s="1027"/>
      <c r="M98" s="1027"/>
      <c r="N98" s="1027"/>
      <c r="O98" s="1027"/>
      <c r="P98" s="1028"/>
      <c r="Q98" s="10"/>
      <c r="R98" s="252"/>
      <c r="S98" s="252"/>
      <c r="T98" s="10"/>
      <c r="U98" s="1035"/>
      <c r="V98" s="1035"/>
      <c r="W98" s="1035"/>
      <c r="X98" s="1035"/>
      <c r="Y98" s="1035"/>
      <c r="Z98" s="1035"/>
      <c r="AA98" s="18"/>
      <c r="AB98" s="12"/>
    </row>
    <row r="99" spans="1:28" ht="31.5" customHeight="1">
      <c r="A99" s="9"/>
      <c r="B99" s="1020"/>
      <c r="C99" s="1021"/>
      <c r="D99" s="1021"/>
      <c r="E99" s="1021"/>
      <c r="F99" s="1021"/>
      <c r="G99" s="1021"/>
      <c r="H99" s="1022"/>
      <c r="I99" s="18"/>
      <c r="J99" s="1026"/>
      <c r="K99" s="1027"/>
      <c r="L99" s="1027"/>
      <c r="M99" s="1027"/>
      <c r="N99" s="1027"/>
      <c r="O99" s="1027"/>
      <c r="P99" s="1028"/>
      <c r="Q99" s="10"/>
      <c r="R99" s="252"/>
      <c r="S99" s="252"/>
      <c r="T99" s="10"/>
      <c r="U99" s="1035"/>
      <c r="V99" s="1035"/>
      <c r="W99" s="1035"/>
      <c r="X99" s="1035"/>
      <c r="Y99" s="1035"/>
      <c r="Z99" s="1035"/>
      <c r="AA99" s="18"/>
      <c r="AB99" s="12"/>
    </row>
    <row r="100" spans="1:28" ht="31.5" customHeight="1">
      <c r="A100" s="9"/>
      <c r="B100" s="1020"/>
      <c r="C100" s="1021"/>
      <c r="D100" s="1021"/>
      <c r="E100" s="1021"/>
      <c r="F100" s="1021"/>
      <c r="G100" s="1021"/>
      <c r="H100" s="1022"/>
      <c r="I100" s="18"/>
      <c r="J100" s="1026"/>
      <c r="K100" s="1027"/>
      <c r="L100" s="1027"/>
      <c r="M100" s="1027"/>
      <c r="N100" s="1027"/>
      <c r="O100" s="1027"/>
      <c r="P100" s="1028"/>
      <c r="Q100" s="10"/>
      <c r="R100" s="252"/>
      <c r="S100" s="252"/>
      <c r="T100" s="10"/>
      <c r="U100" s="1035"/>
      <c r="V100" s="1035"/>
      <c r="W100" s="1035"/>
      <c r="X100" s="1035"/>
      <c r="Y100" s="1035"/>
      <c r="Z100" s="1035"/>
      <c r="AA100" s="18"/>
      <c r="AB100" s="12"/>
    </row>
    <row r="101" spans="1:28" ht="31.5" customHeight="1">
      <c r="A101" s="9"/>
      <c r="B101" s="1020"/>
      <c r="C101" s="1021"/>
      <c r="D101" s="1021"/>
      <c r="E101" s="1021"/>
      <c r="F101" s="1021"/>
      <c r="G101" s="1021"/>
      <c r="H101" s="1022"/>
      <c r="I101" s="18"/>
      <c r="J101" s="1026"/>
      <c r="K101" s="1027"/>
      <c r="L101" s="1027"/>
      <c r="M101" s="1027"/>
      <c r="N101" s="1027"/>
      <c r="O101" s="1027"/>
      <c r="P101" s="1028"/>
      <c r="Q101" s="10"/>
      <c r="R101" s="252"/>
      <c r="S101" s="252"/>
      <c r="T101" s="10"/>
      <c r="U101" s="1035"/>
      <c r="V101" s="1035"/>
      <c r="W101" s="1035"/>
      <c r="X101" s="1035"/>
      <c r="Y101" s="1035"/>
      <c r="Z101" s="1035"/>
      <c r="AA101" s="18"/>
      <c r="AB101" s="12"/>
    </row>
    <row r="102" spans="1:28" ht="31.5" customHeight="1">
      <c r="A102" s="9"/>
      <c r="B102" s="1020"/>
      <c r="C102" s="1021"/>
      <c r="D102" s="1021"/>
      <c r="E102" s="1021"/>
      <c r="F102" s="1021"/>
      <c r="G102" s="1021"/>
      <c r="H102" s="1022"/>
      <c r="I102" s="18"/>
      <c r="J102" s="1026"/>
      <c r="K102" s="1027"/>
      <c r="L102" s="1027"/>
      <c r="M102" s="1027"/>
      <c r="N102" s="1027"/>
      <c r="O102" s="1027"/>
      <c r="P102" s="1028"/>
      <c r="Q102" s="10"/>
      <c r="R102" s="252"/>
      <c r="S102" s="252"/>
      <c r="T102" s="10"/>
      <c r="U102" s="1035"/>
      <c r="V102" s="1035"/>
      <c r="W102" s="1035"/>
      <c r="X102" s="1035"/>
      <c r="Y102" s="1035"/>
      <c r="Z102" s="1035"/>
      <c r="AA102" s="18"/>
      <c r="AB102" s="12"/>
    </row>
    <row r="103" spans="1:28" ht="31.5" customHeight="1">
      <c r="A103" s="9"/>
      <c r="B103" s="1020"/>
      <c r="C103" s="1021"/>
      <c r="D103" s="1021"/>
      <c r="E103" s="1021"/>
      <c r="F103" s="1021"/>
      <c r="G103" s="1021"/>
      <c r="H103" s="1022"/>
      <c r="I103" s="18"/>
      <c r="J103" s="1026"/>
      <c r="K103" s="1027"/>
      <c r="L103" s="1027"/>
      <c r="M103" s="1027"/>
      <c r="N103" s="1027"/>
      <c r="O103" s="1027"/>
      <c r="P103" s="1028"/>
      <c r="Q103" s="10"/>
      <c r="R103" s="10"/>
      <c r="S103" s="252"/>
      <c r="T103" s="252"/>
      <c r="U103" s="252"/>
      <c r="V103" s="252"/>
      <c r="W103" s="252"/>
      <c r="X103" s="252"/>
      <c r="Y103" s="252"/>
      <c r="Z103" s="252"/>
      <c r="AA103" s="252"/>
      <c r="AB103" s="12"/>
    </row>
    <row r="104" spans="1:28" ht="31.5" customHeight="1">
      <c r="A104" s="9"/>
      <c r="B104" s="1020"/>
      <c r="C104" s="1021"/>
      <c r="D104" s="1021"/>
      <c r="E104" s="1021"/>
      <c r="F104" s="1021"/>
      <c r="G104" s="1021"/>
      <c r="H104" s="1022"/>
      <c r="I104" s="18"/>
      <c r="J104" s="1026"/>
      <c r="K104" s="1027"/>
      <c r="L104" s="1027"/>
      <c r="M104" s="1027"/>
      <c r="N104" s="1027"/>
      <c r="O104" s="1027"/>
      <c r="P104" s="1028"/>
      <c r="Q104" s="10"/>
      <c r="R104" s="252"/>
      <c r="S104" s="252"/>
      <c r="T104" s="252"/>
      <c r="U104" s="252"/>
      <c r="V104" s="252"/>
      <c r="W104" s="252"/>
      <c r="X104" s="252"/>
      <c r="Y104" s="252"/>
      <c r="Z104" s="252"/>
      <c r="AA104" s="252"/>
      <c r="AB104" s="12"/>
    </row>
    <row r="105" spans="1:28" ht="31.5" customHeight="1">
      <c r="A105" s="9"/>
      <c r="B105" s="1020"/>
      <c r="C105" s="1021"/>
      <c r="D105" s="1021"/>
      <c r="E105" s="1021"/>
      <c r="F105" s="1021"/>
      <c r="G105" s="1021"/>
      <c r="H105" s="1022"/>
      <c r="I105" s="18"/>
      <c r="J105" s="1026"/>
      <c r="K105" s="1027"/>
      <c r="L105" s="1027"/>
      <c r="M105" s="1027"/>
      <c r="N105" s="1027"/>
      <c r="O105" s="1027"/>
      <c r="P105" s="1028"/>
      <c r="Q105" s="10"/>
      <c r="R105" s="252"/>
      <c r="S105" s="252"/>
      <c r="T105" s="252"/>
      <c r="U105" s="252"/>
      <c r="V105" s="252"/>
      <c r="W105" s="252"/>
      <c r="X105" s="252"/>
      <c r="Y105" s="252"/>
      <c r="Z105" s="252"/>
      <c r="AA105" s="252"/>
      <c r="AB105" s="12"/>
    </row>
    <row r="106" spans="1:28" ht="31.5" customHeight="1">
      <c r="A106" s="9"/>
      <c r="B106" s="1020"/>
      <c r="C106" s="1021"/>
      <c r="D106" s="1021"/>
      <c r="E106" s="1021"/>
      <c r="F106" s="1021"/>
      <c r="G106" s="1021"/>
      <c r="H106" s="1022"/>
      <c r="I106" s="18"/>
      <c r="J106" s="1026"/>
      <c r="K106" s="1027"/>
      <c r="L106" s="1027"/>
      <c r="M106" s="1027"/>
      <c r="N106" s="1027"/>
      <c r="O106" s="1027"/>
      <c r="P106" s="1028"/>
      <c r="Q106" s="10"/>
      <c r="R106" s="252"/>
      <c r="S106" s="252"/>
      <c r="T106" s="252"/>
      <c r="U106" s="252"/>
      <c r="V106" s="252"/>
      <c r="W106" s="252"/>
      <c r="X106" s="252"/>
      <c r="Y106" s="252"/>
      <c r="Z106" s="252"/>
      <c r="AA106" s="252"/>
      <c r="AB106" s="12"/>
    </row>
    <row r="107" spans="1:28" ht="31.5" customHeight="1">
      <c r="A107" s="9"/>
      <c r="B107" s="1020"/>
      <c r="C107" s="1021"/>
      <c r="D107" s="1021"/>
      <c r="E107" s="1021"/>
      <c r="F107" s="1021"/>
      <c r="G107" s="1021"/>
      <c r="H107" s="1022"/>
      <c r="I107" s="18"/>
      <c r="J107" s="1026"/>
      <c r="K107" s="1027"/>
      <c r="L107" s="1027"/>
      <c r="M107" s="1027"/>
      <c r="N107" s="1027"/>
      <c r="O107" s="1027"/>
      <c r="P107" s="1028"/>
      <c r="Q107" s="10"/>
      <c r="R107" s="252"/>
      <c r="S107" s="252"/>
      <c r="T107" s="252"/>
      <c r="U107" s="252"/>
      <c r="V107" s="252"/>
      <c r="W107" s="252"/>
      <c r="X107" s="252"/>
      <c r="Y107" s="252"/>
      <c r="Z107" s="252"/>
      <c r="AA107" s="252"/>
      <c r="AB107" s="12"/>
    </row>
    <row r="108" spans="1:28" ht="31.5" customHeight="1">
      <c r="A108" s="9"/>
      <c r="B108" s="1020"/>
      <c r="C108" s="1021"/>
      <c r="D108" s="1021"/>
      <c r="E108" s="1021"/>
      <c r="F108" s="1021"/>
      <c r="G108" s="1021"/>
      <c r="H108" s="1022"/>
      <c r="I108" s="18"/>
      <c r="J108" s="1026"/>
      <c r="K108" s="1027"/>
      <c r="L108" s="1027"/>
      <c r="M108" s="1027"/>
      <c r="N108" s="1027"/>
      <c r="O108" s="1027"/>
      <c r="P108" s="1028"/>
      <c r="Q108" s="10"/>
      <c r="R108" s="252"/>
      <c r="S108" s="252"/>
      <c r="T108" s="252"/>
      <c r="U108" s="252"/>
      <c r="V108" s="252"/>
      <c r="W108" s="252"/>
      <c r="X108" s="252"/>
      <c r="Y108" s="252"/>
      <c r="Z108" s="252"/>
      <c r="AA108" s="252"/>
      <c r="AB108" s="12"/>
    </row>
    <row r="109" spans="1:28" ht="31.5" customHeight="1">
      <c r="A109" s="9"/>
      <c r="B109" s="1020"/>
      <c r="C109" s="1021"/>
      <c r="D109" s="1021"/>
      <c r="E109" s="1021"/>
      <c r="F109" s="1021"/>
      <c r="G109" s="1021"/>
      <c r="H109" s="1022"/>
      <c r="I109" s="18"/>
      <c r="J109" s="1026"/>
      <c r="K109" s="1027"/>
      <c r="L109" s="1027"/>
      <c r="M109" s="1027"/>
      <c r="N109" s="1027"/>
      <c r="O109" s="1027"/>
      <c r="P109" s="1028"/>
      <c r="Q109" s="10"/>
      <c r="R109" s="252"/>
      <c r="S109" s="252"/>
      <c r="T109" s="252"/>
      <c r="U109" s="252"/>
      <c r="V109" s="252"/>
      <c r="W109" s="252"/>
      <c r="X109" s="252"/>
      <c r="Y109" s="252"/>
      <c r="Z109" s="252"/>
      <c r="AA109" s="252"/>
      <c r="AB109" s="12"/>
    </row>
    <row r="110" spans="1:28" ht="31.5" customHeight="1">
      <c r="A110" s="9"/>
      <c r="B110" s="1023"/>
      <c r="C110" s="1024"/>
      <c r="D110" s="1024"/>
      <c r="E110" s="1024"/>
      <c r="F110" s="1024"/>
      <c r="G110" s="1024"/>
      <c r="H110" s="1025"/>
      <c r="I110" s="18"/>
      <c r="J110" s="1029"/>
      <c r="K110" s="1030"/>
      <c r="L110" s="1030"/>
      <c r="M110" s="1030"/>
      <c r="N110" s="1030"/>
      <c r="O110" s="1030"/>
      <c r="P110" s="1031"/>
      <c r="Q110" s="10"/>
      <c r="R110" s="252"/>
      <c r="S110" s="252"/>
      <c r="T110" s="252"/>
      <c r="U110" s="252"/>
      <c r="V110" s="252"/>
      <c r="W110" s="252"/>
      <c r="X110" s="252"/>
      <c r="Y110" s="252"/>
      <c r="Z110" s="252"/>
      <c r="AA110" s="252"/>
      <c r="AB110" s="12"/>
    </row>
    <row r="111" spans="1:28">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2"/>
    </row>
    <row r="112" spans="1:28" ht="21">
      <c r="A112" s="9"/>
      <c r="B112" s="1032" t="s">
        <v>482</v>
      </c>
      <c r="C112" s="1033"/>
      <c r="D112" s="1033"/>
      <c r="E112" s="1033"/>
      <c r="F112" s="1033"/>
      <c r="G112" s="1033"/>
      <c r="H112" s="1033"/>
      <c r="I112" s="1033"/>
      <c r="J112" s="1033"/>
      <c r="K112" s="1033"/>
      <c r="L112" s="1033"/>
      <c r="M112" s="1033"/>
      <c r="N112" s="1033"/>
      <c r="O112" s="1033"/>
      <c r="P112" s="1034"/>
      <c r="Q112" s="10"/>
      <c r="R112" s="1036" t="str">
        <f>Ongoing_Implementation!S49</f>
        <v>0/5</v>
      </c>
      <c r="S112" s="1037"/>
      <c r="T112" s="10"/>
      <c r="U112" s="10"/>
      <c r="V112" s="10"/>
      <c r="W112" s="10"/>
      <c r="X112" s="10"/>
      <c r="Y112" s="10"/>
      <c r="Z112" s="10"/>
      <c r="AA112" s="10"/>
      <c r="AB112" s="12"/>
    </row>
    <row r="113" spans="1:28" ht="15.6">
      <c r="A113" s="9"/>
      <c r="B113" s="29"/>
      <c r="C113" s="29"/>
      <c r="D113" s="29"/>
      <c r="E113" s="29"/>
      <c r="F113" s="29"/>
      <c r="G113" s="29"/>
      <c r="H113" s="29"/>
      <c r="I113" s="29"/>
      <c r="J113" s="29"/>
      <c r="K113" s="29"/>
      <c r="L113" s="29"/>
      <c r="M113" s="29"/>
      <c r="N113" s="29"/>
      <c r="O113" s="29"/>
      <c r="P113" s="29"/>
      <c r="Q113" s="10"/>
      <c r="R113" s="10"/>
      <c r="S113" s="10"/>
      <c r="T113" s="10"/>
      <c r="U113" s="10"/>
      <c r="V113" s="10"/>
      <c r="W113" s="10"/>
      <c r="X113" s="10"/>
      <c r="Y113" s="10"/>
      <c r="Z113" s="10"/>
      <c r="AA113" s="10"/>
      <c r="AB113" s="12"/>
    </row>
    <row r="114" spans="1:28" ht="22.05" customHeight="1">
      <c r="A114" s="9"/>
      <c r="B114" s="1009" t="s">
        <v>1178</v>
      </c>
      <c r="C114" s="1010"/>
      <c r="D114" s="1010"/>
      <c r="E114" s="1010"/>
      <c r="F114" s="1010"/>
      <c r="G114" s="1010"/>
      <c r="H114" s="1011"/>
      <c r="I114" s="10"/>
      <c r="J114" s="1001" t="s">
        <v>803</v>
      </c>
      <c r="K114" s="1002"/>
      <c r="L114" s="1002"/>
      <c r="M114" s="1002"/>
      <c r="N114" s="1002"/>
      <c r="O114" s="1002"/>
      <c r="P114" s="1003"/>
      <c r="Q114" s="10"/>
      <c r="R114" s="253"/>
      <c r="S114" s="253"/>
      <c r="T114" s="253"/>
      <c r="U114" s="253"/>
      <c r="V114" s="253"/>
      <c r="W114" s="253"/>
      <c r="X114" s="253"/>
      <c r="Y114" s="253"/>
      <c r="Z114" s="253"/>
      <c r="AA114" s="253"/>
      <c r="AB114" s="12"/>
    </row>
    <row r="115" spans="1:28" s="139" customFormat="1" ht="30" customHeight="1">
      <c r="A115" s="309"/>
      <c r="B115" s="1020" t="str">
        <f>IF(AE17=0,"FILL OUT MILESTONE 6: ONGOING IMPLEMENTATION QUESTIONNAIRE",Milestone_Results_Summary!I36)</f>
        <v>FILL OUT MILESTONE 6: ONGOING IMPLEMENTATION QUESTIONNAIRE</v>
      </c>
      <c r="C115" s="1021"/>
      <c r="D115" s="1021"/>
      <c r="E115" s="1021"/>
      <c r="F115" s="1021"/>
      <c r="G115" s="1021"/>
      <c r="H115" s="1022"/>
      <c r="I115" s="62"/>
      <c r="J115" s="1026" t="str">
        <f>IF(AE17=0,"FILL OUT MILESTONE 6: ONGOING IMPLEMENTATION QUESTIONNAIRE",Milestone_Results_Summary!J36)</f>
        <v>FILL OUT MILESTONE 6: ONGOING IMPLEMENTATION QUESTIONNAIRE</v>
      </c>
      <c r="K115" s="1027"/>
      <c r="L115" s="1027"/>
      <c r="M115" s="1027"/>
      <c r="N115" s="1027"/>
      <c r="O115" s="1027"/>
      <c r="P115" s="1028"/>
      <c r="Q115" s="62"/>
      <c r="R115" s="253"/>
      <c r="S115" s="253"/>
      <c r="T115" s="253"/>
      <c r="U115" s="253"/>
      <c r="V115" s="253"/>
      <c r="W115" s="253"/>
      <c r="X115" s="253"/>
      <c r="Y115" s="253"/>
      <c r="Z115" s="253"/>
      <c r="AA115" s="253"/>
      <c r="AB115" s="240"/>
    </row>
    <row r="116" spans="1:28" s="139" customFormat="1" ht="30" customHeight="1">
      <c r="A116" s="309"/>
      <c r="B116" s="1020"/>
      <c r="C116" s="1021"/>
      <c r="D116" s="1021"/>
      <c r="E116" s="1021"/>
      <c r="F116" s="1021"/>
      <c r="G116" s="1021"/>
      <c r="H116" s="1022"/>
      <c r="I116" s="62"/>
      <c r="J116" s="1026"/>
      <c r="K116" s="1027"/>
      <c r="L116" s="1027"/>
      <c r="M116" s="1027"/>
      <c r="N116" s="1027"/>
      <c r="O116" s="1027"/>
      <c r="P116" s="1028"/>
      <c r="Q116" s="62"/>
      <c r="R116" s="253"/>
      <c r="S116" s="253"/>
      <c r="T116" s="253"/>
      <c r="U116" s="253"/>
      <c r="V116" s="253"/>
      <c r="W116" s="253"/>
      <c r="X116" s="253"/>
      <c r="Y116" s="253"/>
      <c r="Z116" s="253"/>
      <c r="AA116" s="253"/>
      <c r="AB116" s="240"/>
    </row>
    <row r="117" spans="1:28" s="139" customFormat="1" ht="30" customHeight="1">
      <c r="A117" s="309"/>
      <c r="B117" s="1020"/>
      <c r="C117" s="1021"/>
      <c r="D117" s="1021"/>
      <c r="E117" s="1021"/>
      <c r="F117" s="1021"/>
      <c r="G117" s="1021"/>
      <c r="H117" s="1022"/>
      <c r="I117" s="62"/>
      <c r="J117" s="1026"/>
      <c r="K117" s="1027"/>
      <c r="L117" s="1027"/>
      <c r="M117" s="1027"/>
      <c r="N117" s="1027"/>
      <c r="O117" s="1027"/>
      <c r="P117" s="1028"/>
      <c r="Q117" s="62"/>
      <c r="R117" s="253"/>
      <c r="S117" s="253"/>
      <c r="T117" s="253"/>
      <c r="U117" s="253"/>
      <c r="V117" s="253"/>
      <c r="W117" s="253"/>
      <c r="X117" s="253"/>
      <c r="Y117" s="253"/>
      <c r="Z117" s="253"/>
      <c r="AA117" s="253"/>
      <c r="AB117" s="240"/>
    </row>
    <row r="118" spans="1:28" s="139" customFormat="1" ht="30" customHeight="1">
      <c r="A118" s="309"/>
      <c r="B118" s="1020"/>
      <c r="C118" s="1021"/>
      <c r="D118" s="1021"/>
      <c r="E118" s="1021"/>
      <c r="F118" s="1021"/>
      <c r="G118" s="1021"/>
      <c r="H118" s="1022"/>
      <c r="I118" s="62"/>
      <c r="J118" s="1026"/>
      <c r="K118" s="1027"/>
      <c r="L118" s="1027"/>
      <c r="M118" s="1027"/>
      <c r="N118" s="1027"/>
      <c r="O118" s="1027"/>
      <c r="P118" s="1028"/>
      <c r="Q118" s="62"/>
      <c r="R118" s="253"/>
      <c r="S118" s="253"/>
      <c r="T118" s="253"/>
      <c r="U118" s="253"/>
      <c r="V118" s="253"/>
      <c r="W118" s="253"/>
      <c r="X118" s="253"/>
      <c r="Y118" s="253"/>
      <c r="Z118" s="253"/>
      <c r="AA118" s="253"/>
      <c r="AB118" s="240"/>
    </row>
    <row r="119" spans="1:28" s="139" customFormat="1" ht="30" customHeight="1">
      <c r="A119" s="309"/>
      <c r="B119" s="1020"/>
      <c r="C119" s="1021"/>
      <c r="D119" s="1021"/>
      <c r="E119" s="1021"/>
      <c r="F119" s="1021"/>
      <c r="G119" s="1021"/>
      <c r="H119" s="1022"/>
      <c r="I119" s="62"/>
      <c r="J119" s="1026"/>
      <c r="K119" s="1027"/>
      <c r="L119" s="1027"/>
      <c r="M119" s="1027"/>
      <c r="N119" s="1027"/>
      <c r="O119" s="1027"/>
      <c r="P119" s="1028"/>
      <c r="Q119" s="62"/>
      <c r="R119" s="253"/>
      <c r="S119" s="253"/>
      <c r="T119" s="253"/>
      <c r="U119" s="253"/>
      <c r="V119" s="253"/>
      <c r="W119" s="253"/>
      <c r="X119" s="253"/>
      <c r="Y119" s="253"/>
      <c r="Z119" s="253"/>
      <c r="AA119" s="253"/>
      <c r="AB119" s="240"/>
    </row>
    <row r="120" spans="1:28" s="139" customFormat="1" ht="30" customHeight="1">
      <c r="A120" s="309"/>
      <c r="B120" s="1020"/>
      <c r="C120" s="1021"/>
      <c r="D120" s="1021"/>
      <c r="E120" s="1021"/>
      <c r="F120" s="1021"/>
      <c r="G120" s="1021"/>
      <c r="H120" s="1022"/>
      <c r="I120" s="62"/>
      <c r="J120" s="1026"/>
      <c r="K120" s="1027"/>
      <c r="L120" s="1027"/>
      <c r="M120" s="1027"/>
      <c r="N120" s="1027"/>
      <c r="O120" s="1027"/>
      <c r="P120" s="1028"/>
      <c r="Q120" s="62"/>
      <c r="R120" s="253"/>
      <c r="S120" s="253"/>
      <c r="T120" s="253"/>
      <c r="U120" s="253"/>
      <c r="V120" s="253"/>
      <c r="W120" s="253"/>
      <c r="X120" s="253"/>
      <c r="Y120" s="253"/>
      <c r="Z120" s="253"/>
      <c r="AA120" s="253"/>
      <c r="AB120" s="240"/>
    </row>
    <row r="121" spans="1:28" s="139" customFormat="1" ht="30" customHeight="1">
      <c r="A121" s="309"/>
      <c r="B121" s="1020"/>
      <c r="C121" s="1021"/>
      <c r="D121" s="1021"/>
      <c r="E121" s="1021"/>
      <c r="F121" s="1021"/>
      <c r="G121" s="1021"/>
      <c r="H121" s="1022"/>
      <c r="I121" s="62"/>
      <c r="J121" s="1026"/>
      <c r="K121" s="1027"/>
      <c r="L121" s="1027"/>
      <c r="M121" s="1027"/>
      <c r="N121" s="1027"/>
      <c r="O121" s="1027"/>
      <c r="P121" s="1028"/>
      <c r="Q121" s="62"/>
      <c r="R121" s="253"/>
      <c r="S121" s="253"/>
      <c r="T121" s="253"/>
      <c r="U121" s="253"/>
      <c r="V121" s="253"/>
      <c r="W121" s="253"/>
      <c r="X121" s="253"/>
      <c r="Y121" s="253"/>
      <c r="Z121" s="253"/>
      <c r="AA121" s="253"/>
      <c r="AB121" s="240"/>
    </row>
    <row r="122" spans="1:28" s="139" customFormat="1" ht="30" customHeight="1">
      <c r="A122" s="309"/>
      <c r="B122" s="1020"/>
      <c r="C122" s="1021"/>
      <c r="D122" s="1021"/>
      <c r="E122" s="1021"/>
      <c r="F122" s="1021"/>
      <c r="G122" s="1021"/>
      <c r="H122" s="1022"/>
      <c r="I122" s="62"/>
      <c r="J122" s="1026"/>
      <c r="K122" s="1027"/>
      <c r="L122" s="1027"/>
      <c r="M122" s="1027"/>
      <c r="N122" s="1027"/>
      <c r="O122" s="1027"/>
      <c r="P122" s="1028"/>
      <c r="Q122" s="62"/>
      <c r="R122" s="253"/>
      <c r="S122" s="253"/>
      <c r="T122" s="253"/>
      <c r="U122" s="253"/>
      <c r="V122" s="253"/>
      <c r="W122" s="253"/>
      <c r="X122" s="253"/>
      <c r="Y122" s="253"/>
      <c r="Z122" s="253"/>
      <c r="AA122" s="253"/>
      <c r="AB122" s="240"/>
    </row>
    <row r="123" spans="1:28" s="139" customFormat="1" ht="30" customHeight="1">
      <c r="A123" s="309"/>
      <c r="B123" s="1020"/>
      <c r="C123" s="1021"/>
      <c r="D123" s="1021"/>
      <c r="E123" s="1021"/>
      <c r="F123" s="1021"/>
      <c r="G123" s="1021"/>
      <c r="H123" s="1022"/>
      <c r="I123" s="62"/>
      <c r="J123" s="1026"/>
      <c r="K123" s="1027"/>
      <c r="L123" s="1027"/>
      <c r="M123" s="1027"/>
      <c r="N123" s="1027"/>
      <c r="O123" s="1027"/>
      <c r="P123" s="1028"/>
      <c r="Q123" s="62"/>
      <c r="R123" s="253"/>
      <c r="S123" s="253"/>
      <c r="T123" s="253"/>
      <c r="U123" s="253"/>
      <c r="V123" s="253"/>
      <c r="W123" s="253"/>
      <c r="X123" s="253"/>
      <c r="Y123" s="253"/>
      <c r="Z123" s="253"/>
      <c r="AA123" s="253"/>
      <c r="AB123" s="240"/>
    </row>
    <row r="124" spans="1:28" s="139" customFormat="1" ht="30" customHeight="1">
      <c r="A124" s="309"/>
      <c r="B124" s="1020"/>
      <c r="C124" s="1021"/>
      <c r="D124" s="1021"/>
      <c r="E124" s="1021"/>
      <c r="F124" s="1021"/>
      <c r="G124" s="1021"/>
      <c r="H124" s="1022"/>
      <c r="I124" s="62"/>
      <c r="J124" s="1026"/>
      <c r="K124" s="1027"/>
      <c r="L124" s="1027"/>
      <c r="M124" s="1027"/>
      <c r="N124" s="1027"/>
      <c r="O124" s="1027"/>
      <c r="P124" s="1028"/>
      <c r="Q124" s="62"/>
      <c r="R124" s="253"/>
      <c r="S124" s="253"/>
      <c r="T124" s="253"/>
      <c r="U124" s="253"/>
      <c r="V124" s="253"/>
      <c r="W124" s="253"/>
      <c r="X124" s="253"/>
      <c r="Y124" s="253"/>
      <c r="Z124" s="253"/>
      <c r="AA124" s="253"/>
      <c r="AB124" s="240"/>
    </row>
    <row r="125" spans="1:28" s="139" customFormat="1" ht="30" customHeight="1">
      <c r="A125" s="309"/>
      <c r="B125" s="1020"/>
      <c r="C125" s="1021"/>
      <c r="D125" s="1021"/>
      <c r="E125" s="1021"/>
      <c r="F125" s="1021"/>
      <c r="G125" s="1021"/>
      <c r="H125" s="1022"/>
      <c r="I125" s="62"/>
      <c r="J125" s="1026"/>
      <c r="K125" s="1027"/>
      <c r="L125" s="1027"/>
      <c r="M125" s="1027"/>
      <c r="N125" s="1027"/>
      <c r="O125" s="1027"/>
      <c r="P125" s="1028"/>
      <c r="Q125" s="62"/>
      <c r="R125" s="253"/>
      <c r="S125" s="253"/>
      <c r="T125" s="253"/>
      <c r="U125" s="253"/>
      <c r="V125" s="253"/>
      <c r="W125" s="253"/>
      <c r="X125" s="253"/>
      <c r="Y125" s="253"/>
      <c r="Z125" s="253"/>
      <c r="AA125" s="253"/>
      <c r="AB125" s="240"/>
    </row>
    <row r="126" spans="1:28" s="139" customFormat="1" ht="30" customHeight="1">
      <c r="A126" s="309"/>
      <c r="B126" s="1020"/>
      <c r="C126" s="1021"/>
      <c r="D126" s="1021"/>
      <c r="E126" s="1021"/>
      <c r="F126" s="1021"/>
      <c r="G126" s="1021"/>
      <c r="H126" s="1022"/>
      <c r="I126" s="62"/>
      <c r="J126" s="1026"/>
      <c r="K126" s="1027"/>
      <c r="L126" s="1027"/>
      <c r="M126" s="1027"/>
      <c r="N126" s="1027"/>
      <c r="O126" s="1027"/>
      <c r="P126" s="1028"/>
      <c r="Q126" s="62"/>
      <c r="R126" s="62"/>
      <c r="S126" s="62"/>
      <c r="T126" s="62"/>
      <c r="U126" s="62"/>
      <c r="V126" s="62"/>
      <c r="W126" s="62"/>
      <c r="X126" s="62"/>
      <c r="Y126" s="62"/>
      <c r="Z126" s="62"/>
      <c r="AA126" s="62"/>
      <c r="AB126" s="240"/>
    </row>
    <row r="127" spans="1:28" s="139" customFormat="1" ht="30" customHeight="1">
      <c r="A127" s="309"/>
      <c r="B127" s="1023"/>
      <c r="C127" s="1024"/>
      <c r="D127" s="1024"/>
      <c r="E127" s="1024"/>
      <c r="F127" s="1024"/>
      <c r="G127" s="1024"/>
      <c r="H127" s="1025"/>
      <c r="I127" s="62"/>
      <c r="J127" s="1029"/>
      <c r="K127" s="1030"/>
      <c r="L127" s="1030"/>
      <c r="M127" s="1030"/>
      <c r="N127" s="1030"/>
      <c r="O127" s="1030"/>
      <c r="P127" s="1031"/>
      <c r="Q127" s="62"/>
      <c r="R127" s="62"/>
      <c r="S127" s="62"/>
      <c r="T127" s="62"/>
      <c r="U127" s="62"/>
      <c r="V127" s="62"/>
      <c r="W127" s="62"/>
      <c r="X127" s="62"/>
      <c r="Y127" s="62"/>
      <c r="Z127" s="62"/>
      <c r="AA127" s="62"/>
      <c r="AB127" s="240"/>
    </row>
    <row r="128" spans="1:28" ht="15.6" thickBot="1">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6"/>
    </row>
  </sheetData>
  <mergeCells count="71">
    <mergeCell ref="A1:AB1"/>
    <mergeCell ref="B81:H93"/>
    <mergeCell ref="J47:P59"/>
    <mergeCell ref="J64:P76"/>
    <mergeCell ref="J81:P93"/>
    <mergeCell ref="B80:H80"/>
    <mergeCell ref="J80:P80"/>
    <mergeCell ref="B64:H76"/>
    <mergeCell ref="J30:P42"/>
    <mergeCell ref="B46:H46"/>
    <mergeCell ref="J46:P46"/>
    <mergeCell ref="B63:H63"/>
    <mergeCell ref="B27:P27"/>
    <mergeCell ref="R27:S27"/>
    <mergeCell ref="J10:N10"/>
    <mergeCell ref="B10:B11"/>
    <mergeCell ref="U98:Z102"/>
    <mergeCell ref="R78:S78"/>
    <mergeCell ref="B3:N8"/>
    <mergeCell ref="R112:S112"/>
    <mergeCell ref="B30:H42"/>
    <mergeCell ref="B47:H59"/>
    <mergeCell ref="B29:H29"/>
    <mergeCell ref="J29:P29"/>
    <mergeCell ref="R38:AA38"/>
    <mergeCell ref="R95:S95"/>
    <mergeCell ref="J63:P63"/>
    <mergeCell ref="R44:S44"/>
    <mergeCell ref="B44:P44"/>
    <mergeCell ref="B61:P61"/>
    <mergeCell ref="R61:S61"/>
    <mergeCell ref="C10:I10"/>
    <mergeCell ref="B115:H127"/>
    <mergeCell ref="J115:P127"/>
    <mergeCell ref="B112:P112"/>
    <mergeCell ref="B78:P78"/>
    <mergeCell ref="B98:H110"/>
    <mergeCell ref="J98:P110"/>
    <mergeCell ref="B97:H97"/>
    <mergeCell ref="J97:P97"/>
    <mergeCell ref="B95:P95"/>
    <mergeCell ref="B114:H114"/>
    <mergeCell ref="J114:P114"/>
    <mergeCell ref="C11:I11"/>
    <mergeCell ref="J11:N11"/>
    <mergeCell ref="J12:N12"/>
    <mergeCell ref="C12:I12"/>
    <mergeCell ref="C13:I13"/>
    <mergeCell ref="C14:I14"/>
    <mergeCell ref="C15:I15"/>
    <mergeCell ref="C16:I16"/>
    <mergeCell ref="C17:I17"/>
    <mergeCell ref="J13:N13"/>
    <mergeCell ref="J14:N14"/>
    <mergeCell ref="J15:N15"/>
    <mergeCell ref="J16:N16"/>
    <mergeCell ref="J17:N17"/>
    <mergeCell ref="J19:N19"/>
    <mergeCell ref="C24:I24"/>
    <mergeCell ref="C25:I25"/>
    <mergeCell ref="J20:N20"/>
    <mergeCell ref="J21:N21"/>
    <mergeCell ref="J22:N22"/>
    <mergeCell ref="J23:N23"/>
    <mergeCell ref="J24:N24"/>
    <mergeCell ref="J25:N25"/>
    <mergeCell ref="C20:I20"/>
    <mergeCell ref="C21:I21"/>
    <mergeCell ref="C22:I22"/>
    <mergeCell ref="C23:I23"/>
    <mergeCell ref="C19:I19"/>
  </mergeCells>
  <phoneticPr fontId="5" type="noConversion"/>
  <conditionalFormatting sqref="B27:D28">
    <cfRule type="expression" dxfId="6" priority="26">
      <formula>$N$50</formula>
    </cfRule>
  </conditionalFormatting>
  <conditionalFormatting sqref="B44:D45">
    <cfRule type="expression" dxfId="5" priority="7">
      <formula>$N$50</formula>
    </cfRule>
  </conditionalFormatting>
  <conditionalFormatting sqref="B61:D62">
    <cfRule type="expression" dxfId="4" priority="6">
      <formula>$N$50</formula>
    </cfRule>
  </conditionalFormatting>
  <conditionalFormatting sqref="B78:D79">
    <cfRule type="expression" dxfId="3" priority="5">
      <formula>$N$50</formula>
    </cfRule>
  </conditionalFormatting>
  <conditionalFormatting sqref="B95:D96">
    <cfRule type="expression" dxfId="2" priority="4">
      <formula>$N$50</formula>
    </cfRule>
  </conditionalFormatting>
  <conditionalFormatting sqref="B112:D113">
    <cfRule type="expression" dxfId="1" priority="3">
      <formula>$N$50</formula>
    </cfRule>
  </conditionalFormatting>
  <conditionalFormatting sqref="B43:G43">
    <cfRule type="expression" dxfId="0" priority="16">
      <formula>$N$50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C915-279C-4625-BF46-2EA3B8E4808D}">
  <sheetPr codeName="Sheet9"/>
  <dimension ref="B2:AX42"/>
  <sheetViews>
    <sheetView topLeftCell="A19" workbookViewId="0">
      <selection activeCell="M34" sqref="M34"/>
    </sheetView>
  </sheetViews>
  <sheetFormatPr defaultColWidth="8.77734375" defaultRowHeight="15"/>
  <cols>
    <col min="1" max="1" width="6.21875" style="18" bestFit="1" customWidth="1"/>
    <col min="2" max="2" width="68" style="18" customWidth="1"/>
    <col min="3" max="3" width="20.5546875" style="18" bestFit="1" customWidth="1"/>
    <col min="4" max="4" width="20.109375" style="18" bestFit="1" customWidth="1"/>
    <col min="5" max="5" width="19.109375" style="18" bestFit="1" customWidth="1"/>
    <col min="6" max="6" width="6.109375" style="18" bestFit="1" customWidth="1"/>
    <col min="7" max="7" width="48.6640625" style="18" bestFit="1" customWidth="1"/>
    <col min="8" max="8" width="6.109375" style="18" bestFit="1" customWidth="1"/>
    <col min="9" max="46" width="6.6640625" style="18" bestFit="1" customWidth="1"/>
    <col min="47" max="49" width="6.21875" style="18" bestFit="1" customWidth="1"/>
    <col min="50" max="16384" width="8.77734375" style="18"/>
  </cols>
  <sheetData>
    <row r="2" spans="2:46">
      <c r="B2" s="396" t="str">
        <f>"Project Phasing timeline for " &amp; B3 &amp; "% reduction of emission from baseline"</f>
        <v>Project Phasing timeline for 0% reduction of emission from baseline</v>
      </c>
      <c r="C2" s="396" t="str">
        <f>Milestone_1!AL96</f>
        <v>Total Reduction (%)</v>
      </c>
      <c r="D2" s="396" t="str">
        <f>Milestone_1!AM96</f>
        <v>Starting year (yyyy)</v>
      </c>
      <c r="E2" s="396" t="str">
        <f>Milestone_1!AO96</f>
        <v>Target Year (yyyy)</v>
      </c>
    </row>
    <row r="3" spans="2:46">
      <c r="B3" s="396">
        <f>IF(ISNUMBER(C3),C3*100,"")</f>
        <v>0</v>
      </c>
      <c r="C3" s="411">
        <f>Milestone_1!AL97</f>
        <v>0</v>
      </c>
      <c r="D3" s="396">
        <f>Milestone_1!AM97</f>
        <v>2013</v>
      </c>
      <c r="E3" s="396">
        <f>Milestone_1!AO97</f>
        <v>2050</v>
      </c>
    </row>
    <row r="4" spans="2:46" ht="15.6">
      <c r="G4" s="396" t="str">
        <f>B5</f>
        <v>Technology</v>
      </c>
      <c r="H4" s="397">
        <v>2012</v>
      </c>
      <c r="I4" s="397">
        <v>2013</v>
      </c>
      <c r="J4" s="397">
        <v>2014</v>
      </c>
      <c r="K4" s="397">
        <v>2015</v>
      </c>
      <c r="L4" s="397">
        <v>2016</v>
      </c>
      <c r="M4" s="397">
        <v>2017</v>
      </c>
      <c r="N4" s="397">
        <v>2018</v>
      </c>
      <c r="O4" s="397">
        <v>2019</v>
      </c>
      <c r="P4" s="397">
        <v>2020</v>
      </c>
      <c r="Q4" s="397">
        <v>2021</v>
      </c>
      <c r="R4" s="397">
        <v>2022</v>
      </c>
      <c r="S4" s="397">
        <v>2023</v>
      </c>
      <c r="T4" s="397">
        <v>2024</v>
      </c>
      <c r="U4" s="397">
        <v>2025</v>
      </c>
      <c r="V4" s="397">
        <v>2026</v>
      </c>
      <c r="W4" s="397">
        <v>2027</v>
      </c>
      <c r="X4" s="397">
        <v>2028</v>
      </c>
      <c r="Y4" s="397">
        <v>2029</v>
      </c>
      <c r="Z4" s="397">
        <v>2030</v>
      </c>
      <c r="AA4" s="397">
        <v>2031</v>
      </c>
      <c r="AB4" s="397">
        <v>2032</v>
      </c>
      <c r="AC4" s="397">
        <v>2033</v>
      </c>
      <c r="AD4" s="397">
        <v>2034</v>
      </c>
      <c r="AE4" s="397">
        <v>2035</v>
      </c>
      <c r="AF4" s="397">
        <v>2036</v>
      </c>
      <c r="AG4" s="397">
        <v>2037</v>
      </c>
      <c r="AH4" s="397">
        <v>2038</v>
      </c>
      <c r="AI4" s="397">
        <v>2039</v>
      </c>
      <c r="AJ4" s="397">
        <v>2040</v>
      </c>
      <c r="AK4" s="397">
        <v>2041</v>
      </c>
      <c r="AL4" s="397">
        <v>2042</v>
      </c>
      <c r="AM4" s="397">
        <v>2043</v>
      </c>
      <c r="AN4" s="397">
        <v>2044</v>
      </c>
      <c r="AO4" s="397">
        <v>2045</v>
      </c>
      <c r="AP4" s="397">
        <v>2046</v>
      </c>
      <c r="AQ4" s="397">
        <v>2047</v>
      </c>
      <c r="AR4" s="397">
        <v>2048</v>
      </c>
      <c r="AS4" s="397">
        <v>2049</v>
      </c>
      <c r="AT4" s="397">
        <v>2050</v>
      </c>
    </row>
    <row r="5" spans="2:46">
      <c r="B5" s="332" t="s">
        <v>253</v>
      </c>
      <c r="C5" s="333" t="str">
        <f>Milestone_5!P12</f>
        <v xml:space="preserve"> % GHG Reduction  (Cumulative reduction)</v>
      </c>
      <c r="D5" s="333" t="str">
        <f>Milestone_5!Q12</f>
        <v>Start Year</v>
      </c>
      <c r="E5" s="259" t="str">
        <f>Milestone_5!R12</f>
        <v>End Year</v>
      </c>
      <c r="G5" s="396" t="s">
        <v>615</v>
      </c>
      <c r="H5" s="398">
        <f t="shared" ref="H5:AT5" si="0">1-H16</f>
        <v>1</v>
      </c>
      <c r="I5" s="398">
        <f t="shared" si="0"/>
        <v>1</v>
      </c>
      <c r="J5" s="396">
        <f t="shared" si="0"/>
        <v>1</v>
      </c>
      <c r="K5" s="396">
        <f t="shared" si="0"/>
        <v>1</v>
      </c>
      <c r="L5" s="396">
        <f t="shared" si="0"/>
        <v>1</v>
      </c>
      <c r="M5" s="396">
        <f t="shared" si="0"/>
        <v>1</v>
      </c>
      <c r="N5" s="396">
        <f t="shared" si="0"/>
        <v>1</v>
      </c>
      <c r="O5" s="396">
        <f t="shared" si="0"/>
        <v>1</v>
      </c>
      <c r="P5" s="396">
        <f t="shared" si="0"/>
        <v>1</v>
      </c>
      <c r="Q5" s="396">
        <f t="shared" si="0"/>
        <v>1</v>
      </c>
      <c r="R5" s="396">
        <f t="shared" si="0"/>
        <v>1</v>
      </c>
      <c r="S5" s="396">
        <f t="shared" si="0"/>
        <v>1</v>
      </c>
      <c r="T5" s="396">
        <f t="shared" si="0"/>
        <v>1</v>
      </c>
      <c r="U5" s="396">
        <f t="shared" si="0"/>
        <v>1</v>
      </c>
      <c r="V5" s="396">
        <f t="shared" si="0"/>
        <v>1</v>
      </c>
      <c r="W5" s="396">
        <f t="shared" si="0"/>
        <v>1</v>
      </c>
      <c r="X5" s="396">
        <f t="shared" si="0"/>
        <v>1</v>
      </c>
      <c r="Y5" s="396">
        <f t="shared" si="0"/>
        <v>1</v>
      </c>
      <c r="Z5" s="396">
        <f t="shared" si="0"/>
        <v>1</v>
      </c>
      <c r="AA5" s="396">
        <f t="shared" si="0"/>
        <v>1</v>
      </c>
      <c r="AB5" s="396">
        <f t="shared" si="0"/>
        <v>1</v>
      </c>
      <c r="AC5" s="396">
        <f t="shared" si="0"/>
        <v>1</v>
      </c>
      <c r="AD5" s="396">
        <f t="shared" si="0"/>
        <v>1</v>
      </c>
      <c r="AE5" s="396">
        <f t="shared" si="0"/>
        <v>1</v>
      </c>
      <c r="AF5" s="396">
        <f t="shared" si="0"/>
        <v>1</v>
      </c>
      <c r="AG5" s="396">
        <f t="shared" si="0"/>
        <v>1</v>
      </c>
      <c r="AH5" s="396">
        <f t="shared" si="0"/>
        <v>1</v>
      </c>
      <c r="AI5" s="396">
        <f t="shared" si="0"/>
        <v>1</v>
      </c>
      <c r="AJ5" s="396">
        <f t="shared" si="0"/>
        <v>1</v>
      </c>
      <c r="AK5" s="396">
        <f t="shared" si="0"/>
        <v>1</v>
      </c>
      <c r="AL5" s="396">
        <f t="shared" si="0"/>
        <v>1</v>
      </c>
      <c r="AM5" s="396">
        <f t="shared" si="0"/>
        <v>1</v>
      </c>
      <c r="AN5" s="400">
        <f>1-AN16</f>
        <v>1</v>
      </c>
      <c r="AO5" s="396">
        <f t="shared" si="0"/>
        <v>1</v>
      </c>
      <c r="AP5" s="396">
        <f t="shared" si="0"/>
        <v>1</v>
      </c>
      <c r="AQ5" s="396">
        <f t="shared" si="0"/>
        <v>1</v>
      </c>
      <c r="AR5" s="396">
        <f t="shared" si="0"/>
        <v>1</v>
      </c>
      <c r="AS5" s="396">
        <f t="shared" si="0"/>
        <v>1</v>
      </c>
      <c r="AT5" s="398">
        <f t="shared" si="0"/>
        <v>1</v>
      </c>
    </row>
    <row r="6" spans="2:46">
      <c r="B6" s="331" t="str">
        <f>Milestone_5!O13</f>
        <v>Energy efficiency</v>
      </c>
      <c r="C6" s="335">
        <f>Milestone_5!P13</f>
        <v>0</v>
      </c>
      <c r="D6" s="18" t="str">
        <f>IF(ISNUMBER(Milestone_5!Q13),Milestone_5!Q13," ")</f>
        <v xml:space="preserve"> </v>
      </c>
      <c r="E6" s="336">
        <f>IF(ISNUMBER(Milestone_5!R13),Milestone_5!R13,IF(Milestone_5!R13="",TechnologyPhasingCurve!$E$3,""))</f>
        <v>2050</v>
      </c>
      <c r="G6" s="396" t="str">
        <f t="shared" ref="G6:G12" si="1">B6</f>
        <v>Energy efficiency</v>
      </c>
      <c r="H6" s="399">
        <f>IF(AND(H$4&gt;=$D6,H$4&lt;=$E6), $C6/($E6-$D6+1), 0)</f>
        <v>0</v>
      </c>
      <c r="I6" s="461">
        <f>H6 + IF(AND(I$4&gt;=$D6,I$4&lt;=$E6), $C6/($E6-$D6+1), 0)</f>
        <v>0</v>
      </c>
      <c r="J6" s="461">
        <f t="shared" ref="J6:AT6" si="2">I6 + IF(AND(J$4&gt;=$D6,J$4&lt;=$E6), $C6/($E6-$D6+1), 0)</f>
        <v>0</v>
      </c>
      <c r="K6" s="461">
        <f t="shared" si="2"/>
        <v>0</v>
      </c>
      <c r="L6" s="461">
        <f t="shared" si="2"/>
        <v>0</v>
      </c>
      <c r="M6" s="461">
        <f t="shared" si="2"/>
        <v>0</v>
      </c>
      <c r="N6" s="461">
        <f t="shared" si="2"/>
        <v>0</v>
      </c>
      <c r="O6" s="461">
        <f t="shared" si="2"/>
        <v>0</v>
      </c>
      <c r="P6" s="461">
        <f t="shared" si="2"/>
        <v>0</v>
      </c>
      <c r="Q6" s="461">
        <f t="shared" si="2"/>
        <v>0</v>
      </c>
      <c r="R6" s="461">
        <f t="shared" si="2"/>
        <v>0</v>
      </c>
      <c r="S6" s="461">
        <f t="shared" si="2"/>
        <v>0</v>
      </c>
      <c r="T6" s="461">
        <f t="shared" si="2"/>
        <v>0</v>
      </c>
      <c r="U6" s="461">
        <f t="shared" si="2"/>
        <v>0</v>
      </c>
      <c r="V6" s="461">
        <f t="shared" si="2"/>
        <v>0</v>
      </c>
      <c r="W6" s="461">
        <f t="shared" si="2"/>
        <v>0</v>
      </c>
      <c r="X6" s="461">
        <f t="shared" si="2"/>
        <v>0</v>
      </c>
      <c r="Y6" s="461">
        <f t="shared" si="2"/>
        <v>0</v>
      </c>
      <c r="Z6" s="461">
        <f t="shared" si="2"/>
        <v>0</v>
      </c>
      <c r="AA6" s="461">
        <f t="shared" si="2"/>
        <v>0</v>
      </c>
      <c r="AB6" s="461">
        <f t="shared" si="2"/>
        <v>0</v>
      </c>
      <c r="AC6" s="461">
        <f t="shared" si="2"/>
        <v>0</v>
      </c>
      <c r="AD6" s="461">
        <f t="shared" si="2"/>
        <v>0</v>
      </c>
      <c r="AE6" s="461">
        <f t="shared" si="2"/>
        <v>0</v>
      </c>
      <c r="AF6" s="461">
        <f t="shared" si="2"/>
        <v>0</v>
      </c>
      <c r="AG6" s="461">
        <f t="shared" si="2"/>
        <v>0</v>
      </c>
      <c r="AH6" s="461">
        <f t="shared" si="2"/>
        <v>0</v>
      </c>
      <c r="AI6" s="461">
        <f t="shared" si="2"/>
        <v>0</v>
      </c>
      <c r="AJ6" s="461">
        <f t="shared" si="2"/>
        <v>0</v>
      </c>
      <c r="AK6" s="461">
        <f t="shared" si="2"/>
        <v>0</v>
      </c>
      <c r="AL6" s="461">
        <f t="shared" si="2"/>
        <v>0</v>
      </c>
      <c r="AM6" s="461">
        <f t="shared" si="2"/>
        <v>0</v>
      </c>
      <c r="AN6" s="461">
        <f t="shared" si="2"/>
        <v>0</v>
      </c>
      <c r="AO6" s="461">
        <f t="shared" si="2"/>
        <v>0</v>
      </c>
      <c r="AP6" s="461">
        <f t="shared" si="2"/>
        <v>0</v>
      </c>
      <c r="AQ6" s="461">
        <f t="shared" si="2"/>
        <v>0</v>
      </c>
      <c r="AR6" s="461">
        <f t="shared" si="2"/>
        <v>0</v>
      </c>
      <c r="AS6" s="461">
        <f t="shared" si="2"/>
        <v>0</v>
      </c>
      <c r="AT6" s="461">
        <f t="shared" si="2"/>
        <v>0</v>
      </c>
    </row>
    <row r="7" spans="2:46">
      <c r="B7" s="331" t="str">
        <f>Milestone_5!O14</f>
        <v>Electrification technology</v>
      </c>
      <c r="C7" s="335">
        <f>Milestone_5!P14</f>
        <v>0</v>
      </c>
      <c r="D7" s="18" t="str">
        <f>IF(ISNUMBER(Milestone_5!Q14),Milestone_5!Q14," ")</f>
        <v xml:space="preserve"> </v>
      </c>
      <c r="E7" s="336">
        <f>IF(ISNUMBER(Milestone_5!R14),Milestone_5!R14,IF(Milestone_5!R14="",TechnologyPhasingCurve!$E$3,""))</f>
        <v>2050</v>
      </c>
      <c r="G7" s="396" t="str">
        <f t="shared" si="1"/>
        <v>Electrification technology</v>
      </c>
      <c r="H7" s="399">
        <f t="shared" ref="H7:H14" si="3">IF(AND(H$4&gt;=$D7,H$4&lt;=$E7), $C7/($E7-$D7+1), 0)</f>
        <v>0</v>
      </c>
      <c r="I7" s="461">
        <f t="shared" ref="I7:AT7" si="4">H7 + IF(AND(I$4&gt;=$D7,I$4&lt;=$E7), $C7/($E7-$D7+1), 0)</f>
        <v>0</v>
      </c>
      <c r="J7" s="461">
        <f t="shared" si="4"/>
        <v>0</v>
      </c>
      <c r="K7" s="461">
        <f t="shared" si="4"/>
        <v>0</v>
      </c>
      <c r="L7" s="461">
        <f t="shared" si="4"/>
        <v>0</v>
      </c>
      <c r="M7" s="461">
        <f t="shared" si="4"/>
        <v>0</v>
      </c>
      <c r="N7" s="461">
        <f t="shared" si="4"/>
        <v>0</v>
      </c>
      <c r="O7" s="461">
        <f t="shared" si="4"/>
        <v>0</v>
      </c>
      <c r="P7" s="461">
        <f t="shared" si="4"/>
        <v>0</v>
      </c>
      <c r="Q7" s="461">
        <f t="shared" si="4"/>
        <v>0</v>
      </c>
      <c r="R7" s="461">
        <f t="shared" si="4"/>
        <v>0</v>
      </c>
      <c r="S7" s="461">
        <f t="shared" si="4"/>
        <v>0</v>
      </c>
      <c r="T7" s="461">
        <f t="shared" si="4"/>
        <v>0</v>
      </c>
      <c r="U7" s="461">
        <f t="shared" si="4"/>
        <v>0</v>
      </c>
      <c r="V7" s="461">
        <f t="shared" si="4"/>
        <v>0</v>
      </c>
      <c r="W7" s="461">
        <f t="shared" si="4"/>
        <v>0</v>
      </c>
      <c r="X7" s="461">
        <f t="shared" si="4"/>
        <v>0</v>
      </c>
      <c r="Y7" s="461">
        <f t="shared" si="4"/>
        <v>0</v>
      </c>
      <c r="Z7" s="461">
        <f t="shared" si="4"/>
        <v>0</v>
      </c>
      <c r="AA7" s="461">
        <f t="shared" si="4"/>
        <v>0</v>
      </c>
      <c r="AB7" s="461">
        <f t="shared" si="4"/>
        <v>0</v>
      </c>
      <c r="AC7" s="461">
        <f t="shared" si="4"/>
        <v>0</v>
      </c>
      <c r="AD7" s="461">
        <f t="shared" si="4"/>
        <v>0</v>
      </c>
      <c r="AE7" s="461">
        <f t="shared" si="4"/>
        <v>0</v>
      </c>
      <c r="AF7" s="461">
        <f t="shared" si="4"/>
        <v>0</v>
      </c>
      <c r="AG7" s="461">
        <f t="shared" si="4"/>
        <v>0</v>
      </c>
      <c r="AH7" s="461">
        <f t="shared" si="4"/>
        <v>0</v>
      </c>
      <c r="AI7" s="461">
        <f t="shared" si="4"/>
        <v>0</v>
      </c>
      <c r="AJ7" s="461">
        <f t="shared" si="4"/>
        <v>0</v>
      </c>
      <c r="AK7" s="461">
        <f t="shared" si="4"/>
        <v>0</v>
      </c>
      <c r="AL7" s="461">
        <f t="shared" si="4"/>
        <v>0</v>
      </c>
      <c r="AM7" s="461">
        <f t="shared" si="4"/>
        <v>0</v>
      </c>
      <c r="AN7" s="461">
        <f t="shared" si="4"/>
        <v>0</v>
      </c>
      <c r="AO7" s="461">
        <f t="shared" si="4"/>
        <v>0</v>
      </c>
      <c r="AP7" s="461">
        <f t="shared" si="4"/>
        <v>0</v>
      </c>
      <c r="AQ7" s="461">
        <f t="shared" si="4"/>
        <v>0</v>
      </c>
      <c r="AR7" s="461">
        <f t="shared" si="4"/>
        <v>0</v>
      </c>
      <c r="AS7" s="461">
        <f t="shared" si="4"/>
        <v>0</v>
      </c>
      <c r="AT7" s="461">
        <f t="shared" si="4"/>
        <v>0</v>
      </c>
    </row>
    <row r="8" spans="2:46">
      <c r="B8" s="331" t="str">
        <f>Milestone_5!O15</f>
        <v>On-site Renewable energy production</v>
      </c>
      <c r="C8" s="335">
        <f>Milestone_5!P15</f>
        <v>0</v>
      </c>
      <c r="D8" s="18" t="str">
        <f>IF(ISNUMBER(Milestone_5!Q15),Milestone_5!Q15," ")</f>
        <v xml:space="preserve"> </v>
      </c>
      <c r="E8" s="336">
        <f>IF(ISNUMBER(Milestone_5!R15),Milestone_5!R15,IF(Milestone_5!R15="",TechnologyPhasingCurve!$E$3,""))</f>
        <v>2050</v>
      </c>
      <c r="G8" s="396" t="str">
        <f t="shared" si="1"/>
        <v>On-site Renewable energy production</v>
      </c>
      <c r="H8" s="399">
        <f>IF(AND(H$4&gt;=$D8,H$4&lt;=$E8), $C8/($E8-$D8+1), 0)</f>
        <v>0</v>
      </c>
      <c r="I8" s="461">
        <f t="shared" ref="I8:AT8" si="5">H8 + IF(AND(I$4&gt;=$D8,I$4&lt;=$E8), $C8/($E8-$D8+1), 0)</f>
        <v>0</v>
      </c>
      <c r="J8" s="461">
        <f t="shared" si="5"/>
        <v>0</v>
      </c>
      <c r="K8" s="461">
        <f t="shared" si="5"/>
        <v>0</v>
      </c>
      <c r="L8" s="461">
        <f t="shared" si="5"/>
        <v>0</v>
      </c>
      <c r="M8" s="461">
        <f t="shared" si="5"/>
        <v>0</v>
      </c>
      <c r="N8" s="461">
        <f t="shared" si="5"/>
        <v>0</v>
      </c>
      <c r="O8" s="461">
        <f t="shared" si="5"/>
        <v>0</v>
      </c>
      <c r="P8" s="461">
        <f t="shared" si="5"/>
        <v>0</v>
      </c>
      <c r="Q8" s="461">
        <f t="shared" si="5"/>
        <v>0</v>
      </c>
      <c r="R8" s="461">
        <f t="shared" si="5"/>
        <v>0</v>
      </c>
      <c r="S8" s="461">
        <f t="shared" si="5"/>
        <v>0</v>
      </c>
      <c r="T8" s="461">
        <f t="shared" si="5"/>
        <v>0</v>
      </c>
      <c r="U8" s="461">
        <f t="shared" si="5"/>
        <v>0</v>
      </c>
      <c r="V8" s="461">
        <f t="shared" si="5"/>
        <v>0</v>
      </c>
      <c r="W8" s="461">
        <f t="shared" si="5"/>
        <v>0</v>
      </c>
      <c r="X8" s="461">
        <f t="shared" si="5"/>
        <v>0</v>
      </c>
      <c r="Y8" s="461">
        <f t="shared" si="5"/>
        <v>0</v>
      </c>
      <c r="Z8" s="461">
        <f t="shared" si="5"/>
        <v>0</v>
      </c>
      <c r="AA8" s="461">
        <f t="shared" si="5"/>
        <v>0</v>
      </c>
      <c r="AB8" s="461">
        <f t="shared" si="5"/>
        <v>0</v>
      </c>
      <c r="AC8" s="461">
        <f t="shared" si="5"/>
        <v>0</v>
      </c>
      <c r="AD8" s="461">
        <f t="shared" si="5"/>
        <v>0</v>
      </c>
      <c r="AE8" s="461">
        <f t="shared" si="5"/>
        <v>0</v>
      </c>
      <c r="AF8" s="461">
        <f t="shared" si="5"/>
        <v>0</v>
      </c>
      <c r="AG8" s="461">
        <f t="shared" si="5"/>
        <v>0</v>
      </c>
      <c r="AH8" s="461">
        <f t="shared" si="5"/>
        <v>0</v>
      </c>
      <c r="AI8" s="461">
        <f t="shared" si="5"/>
        <v>0</v>
      </c>
      <c r="AJ8" s="461">
        <f t="shared" si="5"/>
        <v>0</v>
      </c>
      <c r="AK8" s="461">
        <f t="shared" si="5"/>
        <v>0</v>
      </c>
      <c r="AL8" s="461">
        <f t="shared" si="5"/>
        <v>0</v>
      </c>
      <c r="AM8" s="461">
        <f t="shared" si="5"/>
        <v>0</v>
      </c>
      <c r="AN8" s="461">
        <f t="shared" si="5"/>
        <v>0</v>
      </c>
      <c r="AO8" s="461">
        <f t="shared" si="5"/>
        <v>0</v>
      </c>
      <c r="AP8" s="461">
        <f t="shared" si="5"/>
        <v>0</v>
      </c>
      <c r="AQ8" s="461">
        <f t="shared" si="5"/>
        <v>0</v>
      </c>
      <c r="AR8" s="461">
        <f t="shared" si="5"/>
        <v>0</v>
      </c>
      <c r="AS8" s="461">
        <f t="shared" si="5"/>
        <v>0</v>
      </c>
      <c r="AT8" s="461">
        <f t="shared" si="5"/>
        <v>0</v>
      </c>
    </row>
    <row r="9" spans="2:46">
      <c r="B9" s="331" t="str">
        <f>Milestone_5!O16</f>
        <v>Renewable energy procurement</v>
      </c>
      <c r="C9" s="335">
        <f>Milestone_5!P16</f>
        <v>0</v>
      </c>
      <c r="D9" s="18" t="str">
        <f>IF(ISNUMBER(Milestone_5!Q16),Milestone_5!Q16," ")</f>
        <v xml:space="preserve"> </v>
      </c>
      <c r="E9" s="336">
        <f>IF(ISNUMBER(Milestone_5!R16),Milestone_5!R16,IF(Milestone_5!R16="",TechnologyPhasingCurve!$E$3,""))</f>
        <v>2050</v>
      </c>
      <c r="G9" s="396" t="str">
        <f t="shared" si="1"/>
        <v>Renewable energy procurement</v>
      </c>
      <c r="H9" s="399">
        <f>IF(H$4=$D9,$C9,0)</f>
        <v>0</v>
      </c>
      <c r="I9" s="461">
        <f>IF($D9=I$4,$C9,0)+H9</f>
        <v>0</v>
      </c>
      <c r="J9" s="461">
        <f t="shared" ref="J9:AT9" si="6">IF($D9=J$4,$C9,0)+I9</f>
        <v>0</v>
      </c>
      <c r="K9" s="461">
        <f t="shared" si="6"/>
        <v>0</v>
      </c>
      <c r="L9" s="461">
        <f t="shared" si="6"/>
        <v>0</v>
      </c>
      <c r="M9" s="461">
        <f t="shared" si="6"/>
        <v>0</v>
      </c>
      <c r="N9" s="461">
        <f t="shared" si="6"/>
        <v>0</v>
      </c>
      <c r="O9" s="461">
        <f t="shared" si="6"/>
        <v>0</v>
      </c>
      <c r="P9" s="461">
        <f t="shared" si="6"/>
        <v>0</v>
      </c>
      <c r="Q9" s="461">
        <f t="shared" si="6"/>
        <v>0</v>
      </c>
      <c r="R9" s="461">
        <f t="shared" si="6"/>
        <v>0</v>
      </c>
      <c r="S9" s="461">
        <f t="shared" si="6"/>
        <v>0</v>
      </c>
      <c r="T9" s="461">
        <f t="shared" si="6"/>
        <v>0</v>
      </c>
      <c r="U9" s="461">
        <f t="shared" si="6"/>
        <v>0</v>
      </c>
      <c r="V9" s="461">
        <f t="shared" si="6"/>
        <v>0</v>
      </c>
      <c r="W9" s="461">
        <f t="shared" si="6"/>
        <v>0</v>
      </c>
      <c r="X9" s="461">
        <f t="shared" si="6"/>
        <v>0</v>
      </c>
      <c r="Y9" s="461">
        <f t="shared" si="6"/>
        <v>0</v>
      </c>
      <c r="Z9" s="461">
        <f t="shared" si="6"/>
        <v>0</v>
      </c>
      <c r="AA9" s="461">
        <f t="shared" si="6"/>
        <v>0</v>
      </c>
      <c r="AB9" s="461">
        <f t="shared" si="6"/>
        <v>0</v>
      </c>
      <c r="AC9" s="461">
        <f t="shared" si="6"/>
        <v>0</v>
      </c>
      <c r="AD9" s="461">
        <f t="shared" si="6"/>
        <v>0</v>
      </c>
      <c r="AE9" s="461">
        <f t="shared" si="6"/>
        <v>0</v>
      </c>
      <c r="AF9" s="461">
        <f t="shared" si="6"/>
        <v>0</v>
      </c>
      <c r="AG9" s="461">
        <f t="shared" si="6"/>
        <v>0</v>
      </c>
      <c r="AH9" s="461">
        <f t="shared" si="6"/>
        <v>0</v>
      </c>
      <c r="AI9" s="461">
        <f t="shared" si="6"/>
        <v>0</v>
      </c>
      <c r="AJ9" s="461">
        <f t="shared" si="6"/>
        <v>0</v>
      </c>
      <c r="AK9" s="461">
        <f t="shared" si="6"/>
        <v>0</v>
      </c>
      <c r="AL9" s="461">
        <f t="shared" si="6"/>
        <v>0</v>
      </c>
      <c r="AM9" s="461">
        <f t="shared" si="6"/>
        <v>0</v>
      </c>
      <c r="AN9" s="461">
        <f t="shared" si="6"/>
        <v>0</v>
      </c>
      <c r="AO9" s="461">
        <f t="shared" si="6"/>
        <v>0</v>
      </c>
      <c r="AP9" s="461">
        <f t="shared" si="6"/>
        <v>0</v>
      </c>
      <c r="AQ9" s="461">
        <f t="shared" si="6"/>
        <v>0</v>
      </c>
      <c r="AR9" s="461">
        <f t="shared" si="6"/>
        <v>0</v>
      </c>
      <c r="AS9" s="461">
        <f t="shared" si="6"/>
        <v>0</v>
      </c>
      <c r="AT9" s="461">
        <f t="shared" si="6"/>
        <v>0</v>
      </c>
    </row>
    <row r="10" spans="2:46">
      <c r="B10" s="331" t="str">
        <f>Milestone_5!O17</f>
        <v>Low carbon fuels (e.g. biofuels and H2)</v>
      </c>
      <c r="C10" s="335">
        <f>Milestone_5!P17</f>
        <v>0</v>
      </c>
      <c r="D10" s="18" t="str">
        <f>IF(ISNUMBER(Milestone_5!Q17),Milestone_5!Q17," ")</f>
        <v xml:space="preserve"> </v>
      </c>
      <c r="E10" s="336">
        <f>IF(ISNUMBER(Milestone_5!R17),Milestone_5!R17,IF(Milestone_5!R17="",TechnologyPhasingCurve!$E$3,""))</f>
        <v>2050</v>
      </c>
      <c r="G10" s="396" t="str">
        <f t="shared" si="1"/>
        <v>Low carbon fuels (e.g. biofuels and H2)</v>
      </c>
      <c r="H10" s="399">
        <f t="shared" si="3"/>
        <v>0</v>
      </c>
      <c r="I10" s="461">
        <f t="shared" ref="I10:AT10" si="7">H10 + IF(AND(I$4&gt;=$D10,I$4&lt;=$E10), $C10/($E10-$D10+1), 0)</f>
        <v>0</v>
      </c>
      <c r="J10" s="461">
        <f t="shared" si="7"/>
        <v>0</v>
      </c>
      <c r="K10" s="461">
        <f t="shared" si="7"/>
        <v>0</v>
      </c>
      <c r="L10" s="461">
        <f t="shared" si="7"/>
        <v>0</v>
      </c>
      <c r="M10" s="461">
        <f t="shared" si="7"/>
        <v>0</v>
      </c>
      <c r="N10" s="461">
        <f t="shared" si="7"/>
        <v>0</v>
      </c>
      <c r="O10" s="461">
        <f t="shared" si="7"/>
        <v>0</v>
      </c>
      <c r="P10" s="461">
        <f t="shared" si="7"/>
        <v>0</v>
      </c>
      <c r="Q10" s="461">
        <f t="shared" si="7"/>
        <v>0</v>
      </c>
      <c r="R10" s="461">
        <f t="shared" si="7"/>
        <v>0</v>
      </c>
      <c r="S10" s="461">
        <f t="shared" si="7"/>
        <v>0</v>
      </c>
      <c r="T10" s="461">
        <f t="shared" si="7"/>
        <v>0</v>
      </c>
      <c r="U10" s="461">
        <f t="shared" si="7"/>
        <v>0</v>
      </c>
      <c r="V10" s="461">
        <f t="shared" si="7"/>
        <v>0</v>
      </c>
      <c r="W10" s="461">
        <f t="shared" si="7"/>
        <v>0</v>
      </c>
      <c r="X10" s="461">
        <f t="shared" si="7"/>
        <v>0</v>
      </c>
      <c r="Y10" s="461">
        <f t="shared" si="7"/>
        <v>0</v>
      </c>
      <c r="Z10" s="461">
        <f t="shared" si="7"/>
        <v>0</v>
      </c>
      <c r="AA10" s="461">
        <f t="shared" si="7"/>
        <v>0</v>
      </c>
      <c r="AB10" s="461">
        <f t="shared" si="7"/>
        <v>0</v>
      </c>
      <c r="AC10" s="461">
        <f t="shared" si="7"/>
        <v>0</v>
      </c>
      <c r="AD10" s="461">
        <f t="shared" si="7"/>
        <v>0</v>
      </c>
      <c r="AE10" s="461">
        <f t="shared" si="7"/>
        <v>0</v>
      </c>
      <c r="AF10" s="461">
        <f t="shared" si="7"/>
        <v>0</v>
      </c>
      <c r="AG10" s="461">
        <f t="shared" si="7"/>
        <v>0</v>
      </c>
      <c r="AH10" s="461">
        <f t="shared" si="7"/>
        <v>0</v>
      </c>
      <c r="AI10" s="461">
        <f t="shared" si="7"/>
        <v>0</v>
      </c>
      <c r="AJ10" s="461">
        <f t="shared" si="7"/>
        <v>0</v>
      </c>
      <c r="AK10" s="461">
        <f t="shared" si="7"/>
        <v>0</v>
      </c>
      <c r="AL10" s="461">
        <f t="shared" si="7"/>
        <v>0</v>
      </c>
      <c r="AM10" s="461">
        <f t="shared" si="7"/>
        <v>0</v>
      </c>
      <c r="AN10" s="461">
        <f t="shared" si="7"/>
        <v>0</v>
      </c>
      <c r="AO10" s="461">
        <f t="shared" si="7"/>
        <v>0</v>
      </c>
      <c r="AP10" s="461">
        <f t="shared" si="7"/>
        <v>0</v>
      </c>
      <c r="AQ10" s="461">
        <f t="shared" si="7"/>
        <v>0</v>
      </c>
      <c r="AR10" s="461">
        <f t="shared" si="7"/>
        <v>0</v>
      </c>
      <c r="AS10" s="461">
        <f t="shared" si="7"/>
        <v>0</v>
      </c>
      <c r="AT10" s="461">
        <f t="shared" si="7"/>
        <v>0</v>
      </c>
    </row>
    <row r="11" spans="2:46">
      <c r="B11" s="331" t="str">
        <f>Milestone_5!O18</f>
        <v>Fugitive, Mobile and process emission reduction</v>
      </c>
      <c r="C11" s="335">
        <f>Milestone_5!P18</f>
        <v>0</v>
      </c>
      <c r="D11" s="18" t="str">
        <f>IF(ISNUMBER(Milestone_5!Q18),Milestone_5!Q18," ")</f>
        <v xml:space="preserve"> </v>
      </c>
      <c r="E11" s="336">
        <f>IF(ISNUMBER(Milestone_5!R18),Milestone_5!R18,IF(Milestone_5!R18="",TechnologyPhasingCurve!$E$3,""))</f>
        <v>2050</v>
      </c>
      <c r="G11" s="396" t="str">
        <f t="shared" si="1"/>
        <v>Fugitive, Mobile and process emission reduction</v>
      </c>
      <c r="H11" s="399">
        <f t="shared" si="3"/>
        <v>0</v>
      </c>
      <c r="I11" s="461">
        <f t="shared" ref="I11:AT11" si="8">H11 + IF(AND(I$4&gt;=$D11,I$4&lt;=$E11), $C11/($E11-$D11+1), 0)</f>
        <v>0</v>
      </c>
      <c r="J11" s="461">
        <f t="shared" si="8"/>
        <v>0</v>
      </c>
      <c r="K11" s="461">
        <f t="shared" si="8"/>
        <v>0</v>
      </c>
      <c r="L11" s="461">
        <f t="shared" si="8"/>
        <v>0</v>
      </c>
      <c r="M11" s="461">
        <f t="shared" si="8"/>
        <v>0</v>
      </c>
      <c r="N11" s="461">
        <f t="shared" si="8"/>
        <v>0</v>
      </c>
      <c r="O11" s="461">
        <f t="shared" si="8"/>
        <v>0</v>
      </c>
      <c r="P11" s="461">
        <f t="shared" si="8"/>
        <v>0</v>
      </c>
      <c r="Q11" s="461">
        <f t="shared" si="8"/>
        <v>0</v>
      </c>
      <c r="R11" s="461">
        <f t="shared" si="8"/>
        <v>0</v>
      </c>
      <c r="S11" s="461">
        <f t="shared" si="8"/>
        <v>0</v>
      </c>
      <c r="T11" s="461">
        <f t="shared" si="8"/>
        <v>0</v>
      </c>
      <c r="U11" s="461">
        <f t="shared" si="8"/>
        <v>0</v>
      </c>
      <c r="V11" s="461">
        <f t="shared" si="8"/>
        <v>0</v>
      </c>
      <c r="W11" s="461">
        <f t="shared" si="8"/>
        <v>0</v>
      </c>
      <c r="X11" s="461">
        <f t="shared" si="8"/>
        <v>0</v>
      </c>
      <c r="Y11" s="461">
        <f t="shared" si="8"/>
        <v>0</v>
      </c>
      <c r="Z11" s="461">
        <f t="shared" si="8"/>
        <v>0</v>
      </c>
      <c r="AA11" s="461">
        <f t="shared" si="8"/>
        <v>0</v>
      </c>
      <c r="AB11" s="461">
        <f t="shared" si="8"/>
        <v>0</v>
      </c>
      <c r="AC11" s="461">
        <f t="shared" si="8"/>
        <v>0</v>
      </c>
      <c r="AD11" s="461">
        <f t="shared" si="8"/>
        <v>0</v>
      </c>
      <c r="AE11" s="461">
        <f t="shared" si="8"/>
        <v>0</v>
      </c>
      <c r="AF11" s="461">
        <f t="shared" si="8"/>
        <v>0</v>
      </c>
      <c r="AG11" s="461">
        <f t="shared" si="8"/>
        <v>0</v>
      </c>
      <c r="AH11" s="461">
        <f t="shared" si="8"/>
        <v>0</v>
      </c>
      <c r="AI11" s="461">
        <f t="shared" si="8"/>
        <v>0</v>
      </c>
      <c r="AJ11" s="461">
        <f t="shared" si="8"/>
        <v>0</v>
      </c>
      <c r="AK11" s="461">
        <f t="shared" si="8"/>
        <v>0</v>
      </c>
      <c r="AL11" s="461">
        <f t="shared" si="8"/>
        <v>0</v>
      </c>
      <c r="AM11" s="461">
        <f t="shared" si="8"/>
        <v>0</v>
      </c>
      <c r="AN11" s="461">
        <f t="shared" si="8"/>
        <v>0</v>
      </c>
      <c r="AO11" s="461">
        <f t="shared" si="8"/>
        <v>0</v>
      </c>
      <c r="AP11" s="461">
        <f t="shared" si="8"/>
        <v>0</v>
      </c>
      <c r="AQ11" s="461">
        <f t="shared" si="8"/>
        <v>0</v>
      </c>
      <c r="AR11" s="461">
        <f t="shared" si="8"/>
        <v>0</v>
      </c>
      <c r="AS11" s="461">
        <f t="shared" si="8"/>
        <v>0</v>
      </c>
      <c r="AT11" s="461">
        <f t="shared" si="8"/>
        <v>0</v>
      </c>
    </row>
    <row r="12" spans="2:46">
      <c r="B12" s="331" t="str">
        <f>Milestone_5!O19</f>
        <v xml:space="preserve">Energy storage, grid resiliency and interactivity </v>
      </c>
      <c r="C12" s="335">
        <f>Milestone_5!P19</f>
        <v>0</v>
      </c>
      <c r="D12" s="18" t="str">
        <f>IF(ISNUMBER(Milestone_5!Q19),Milestone_5!Q19," ")</f>
        <v xml:space="preserve"> </v>
      </c>
      <c r="E12" s="336">
        <f>IF(ISNUMBER(Milestone_5!R19),Milestone_5!R19,IF(Milestone_5!R19="",TechnologyPhasingCurve!$E$3,""))</f>
        <v>2050</v>
      </c>
      <c r="G12" s="396" t="str">
        <f t="shared" si="1"/>
        <v xml:space="preserve">Energy storage, grid resiliency and interactivity </v>
      </c>
      <c r="H12" s="399">
        <f t="shared" si="3"/>
        <v>0</v>
      </c>
      <c r="I12" s="461">
        <f t="shared" ref="I12:AT12" si="9">H12 + IF(AND(I$4&gt;=$D12,I$4&lt;=$E12), $C12/($E12-$D12+1), 0)</f>
        <v>0</v>
      </c>
      <c r="J12" s="461">
        <f t="shared" si="9"/>
        <v>0</v>
      </c>
      <c r="K12" s="461">
        <f t="shared" si="9"/>
        <v>0</v>
      </c>
      <c r="L12" s="461">
        <f t="shared" si="9"/>
        <v>0</v>
      </c>
      <c r="M12" s="461">
        <f t="shared" si="9"/>
        <v>0</v>
      </c>
      <c r="N12" s="461">
        <f t="shared" si="9"/>
        <v>0</v>
      </c>
      <c r="O12" s="461">
        <f t="shared" si="9"/>
        <v>0</v>
      </c>
      <c r="P12" s="461">
        <f t="shared" si="9"/>
        <v>0</v>
      </c>
      <c r="Q12" s="461">
        <f t="shared" si="9"/>
        <v>0</v>
      </c>
      <c r="R12" s="461">
        <f t="shared" si="9"/>
        <v>0</v>
      </c>
      <c r="S12" s="461">
        <f t="shared" si="9"/>
        <v>0</v>
      </c>
      <c r="T12" s="461">
        <f t="shared" si="9"/>
        <v>0</v>
      </c>
      <c r="U12" s="461">
        <f t="shared" si="9"/>
        <v>0</v>
      </c>
      <c r="V12" s="461">
        <f t="shared" si="9"/>
        <v>0</v>
      </c>
      <c r="W12" s="461">
        <f t="shared" si="9"/>
        <v>0</v>
      </c>
      <c r="X12" s="461">
        <f t="shared" si="9"/>
        <v>0</v>
      </c>
      <c r="Y12" s="461">
        <f t="shared" si="9"/>
        <v>0</v>
      </c>
      <c r="Z12" s="461">
        <f t="shared" si="9"/>
        <v>0</v>
      </c>
      <c r="AA12" s="461">
        <f t="shared" si="9"/>
        <v>0</v>
      </c>
      <c r="AB12" s="461">
        <f t="shared" si="9"/>
        <v>0</v>
      </c>
      <c r="AC12" s="461">
        <f t="shared" si="9"/>
        <v>0</v>
      </c>
      <c r="AD12" s="461">
        <f t="shared" si="9"/>
        <v>0</v>
      </c>
      <c r="AE12" s="461">
        <f t="shared" si="9"/>
        <v>0</v>
      </c>
      <c r="AF12" s="461">
        <f t="shared" si="9"/>
        <v>0</v>
      </c>
      <c r="AG12" s="461">
        <f t="shared" si="9"/>
        <v>0</v>
      </c>
      <c r="AH12" s="461">
        <f t="shared" si="9"/>
        <v>0</v>
      </c>
      <c r="AI12" s="461">
        <f t="shared" si="9"/>
        <v>0</v>
      </c>
      <c r="AJ12" s="461">
        <f t="shared" si="9"/>
        <v>0</v>
      </c>
      <c r="AK12" s="461">
        <f t="shared" si="9"/>
        <v>0</v>
      </c>
      <c r="AL12" s="461">
        <f t="shared" si="9"/>
        <v>0</v>
      </c>
      <c r="AM12" s="461">
        <f t="shared" si="9"/>
        <v>0</v>
      </c>
      <c r="AN12" s="461">
        <f t="shared" si="9"/>
        <v>0</v>
      </c>
      <c r="AO12" s="461">
        <f t="shared" si="9"/>
        <v>0</v>
      </c>
      <c r="AP12" s="461">
        <f t="shared" si="9"/>
        <v>0</v>
      </c>
      <c r="AQ12" s="461">
        <f t="shared" si="9"/>
        <v>0</v>
      </c>
      <c r="AR12" s="461">
        <f t="shared" si="9"/>
        <v>0</v>
      </c>
      <c r="AS12" s="461">
        <f t="shared" si="9"/>
        <v>0</v>
      </c>
      <c r="AT12" s="461">
        <f t="shared" si="9"/>
        <v>0</v>
      </c>
    </row>
    <row r="13" spans="2:46">
      <c r="B13" s="331" t="str">
        <f>Milestone_5!O20</f>
        <v>Carbon capture utilization &amp; storage</v>
      </c>
      <c r="C13" s="335">
        <f>Milestone_5!P20</f>
        <v>0</v>
      </c>
      <c r="D13" s="18" t="str">
        <f>IF(ISNUMBER(Milestone_5!Q20),Milestone_5!Q20," ")</f>
        <v xml:space="preserve"> </v>
      </c>
      <c r="E13" s="336">
        <f>IF(ISNUMBER(Milestone_5!R20),Milestone_5!R20,IF(Milestone_5!R20="",TechnologyPhasingCurve!$E$3,""))</f>
        <v>2050</v>
      </c>
      <c r="G13" s="396" t="str">
        <f>B13</f>
        <v>Carbon capture utilization &amp; storage</v>
      </c>
      <c r="H13" s="399">
        <f t="shared" si="3"/>
        <v>0</v>
      </c>
      <c r="I13" s="461">
        <f t="shared" ref="I13:AT14" si="10">H13 + IF(AND(I$4&gt;=$D13,I$4&lt;=$E13), $C13/($E13-$D13+1), 0)</f>
        <v>0</v>
      </c>
      <c r="J13" s="461">
        <f t="shared" si="10"/>
        <v>0</v>
      </c>
      <c r="K13" s="461">
        <f t="shared" si="10"/>
        <v>0</v>
      </c>
      <c r="L13" s="461">
        <f t="shared" si="10"/>
        <v>0</v>
      </c>
      <c r="M13" s="461">
        <f t="shared" si="10"/>
        <v>0</v>
      </c>
      <c r="N13" s="461">
        <f t="shared" si="10"/>
        <v>0</v>
      </c>
      <c r="O13" s="461">
        <f t="shared" si="10"/>
        <v>0</v>
      </c>
      <c r="P13" s="461">
        <f t="shared" si="10"/>
        <v>0</v>
      </c>
      <c r="Q13" s="461">
        <f t="shared" si="10"/>
        <v>0</v>
      </c>
      <c r="R13" s="461">
        <f t="shared" si="10"/>
        <v>0</v>
      </c>
      <c r="S13" s="461">
        <f t="shared" si="10"/>
        <v>0</v>
      </c>
      <c r="T13" s="461">
        <f t="shared" si="10"/>
        <v>0</v>
      </c>
      <c r="U13" s="461">
        <f t="shared" si="10"/>
        <v>0</v>
      </c>
      <c r="V13" s="461">
        <f t="shared" si="10"/>
        <v>0</v>
      </c>
      <c r="W13" s="461">
        <f t="shared" si="10"/>
        <v>0</v>
      </c>
      <c r="X13" s="461">
        <f t="shared" si="10"/>
        <v>0</v>
      </c>
      <c r="Y13" s="461">
        <f t="shared" si="10"/>
        <v>0</v>
      </c>
      <c r="Z13" s="461">
        <f t="shared" si="10"/>
        <v>0</v>
      </c>
      <c r="AA13" s="461">
        <f t="shared" si="10"/>
        <v>0</v>
      </c>
      <c r="AB13" s="461">
        <f t="shared" si="10"/>
        <v>0</v>
      </c>
      <c r="AC13" s="461">
        <f t="shared" si="10"/>
        <v>0</v>
      </c>
      <c r="AD13" s="461">
        <f t="shared" si="10"/>
        <v>0</v>
      </c>
      <c r="AE13" s="461">
        <f t="shared" si="10"/>
        <v>0</v>
      </c>
      <c r="AF13" s="461">
        <f t="shared" si="10"/>
        <v>0</v>
      </c>
      <c r="AG13" s="461">
        <f t="shared" si="10"/>
        <v>0</v>
      </c>
      <c r="AH13" s="461">
        <f t="shared" si="10"/>
        <v>0</v>
      </c>
      <c r="AI13" s="461">
        <f t="shared" si="10"/>
        <v>0</v>
      </c>
      <c r="AJ13" s="461">
        <f t="shared" si="10"/>
        <v>0</v>
      </c>
      <c r="AK13" s="461">
        <f t="shared" si="10"/>
        <v>0</v>
      </c>
      <c r="AL13" s="461">
        <f t="shared" si="10"/>
        <v>0</v>
      </c>
      <c r="AM13" s="461">
        <f t="shared" si="10"/>
        <v>0</v>
      </c>
      <c r="AN13" s="461">
        <f t="shared" si="10"/>
        <v>0</v>
      </c>
      <c r="AO13" s="461">
        <f t="shared" si="10"/>
        <v>0</v>
      </c>
      <c r="AP13" s="461">
        <f t="shared" si="10"/>
        <v>0</v>
      </c>
      <c r="AQ13" s="461">
        <f t="shared" si="10"/>
        <v>0</v>
      </c>
      <c r="AR13" s="461">
        <f t="shared" si="10"/>
        <v>0</v>
      </c>
      <c r="AS13" s="461">
        <f t="shared" si="10"/>
        <v>0</v>
      </c>
      <c r="AT13" s="461">
        <f t="shared" si="10"/>
        <v>0</v>
      </c>
    </row>
    <row r="14" spans="2:46">
      <c r="B14" s="331" t="str">
        <f>Milestone_5!O21</f>
        <v>Other notable pathways (please specify)</v>
      </c>
      <c r="C14" s="335">
        <f>Milestone_5!P21</f>
        <v>0</v>
      </c>
      <c r="D14" s="18" t="str">
        <f>IF(ISNUMBER(Milestone_5!Q21),Milestone_5!Q21," ")</f>
        <v xml:space="preserve"> </v>
      </c>
      <c r="E14" s="336">
        <f>IF(ISNUMBER(Milestone_5!R21),Milestone_5!R21,IF(Milestone_5!R21="",TechnologyPhasingCurve!$E$3,""))</f>
        <v>2050</v>
      </c>
      <c r="G14" s="396" t="str">
        <f>B14</f>
        <v>Other notable pathways (please specify)</v>
      </c>
      <c r="H14" s="399">
        <f t="shared" si="3"/>
        <v>0</v>
      </c>
      <c r="I14" s="461">
        <f t="shared" si="10"/>
        <v>0</v>
      </c>
      <c r="J14" s="461">
        <f t="shared" ref="J14" si="11">I14 + IF(AND(J$4&gt;=$D14,J$4&lt;=$E14), $C14/($E14-$D14+1), 0)</f>
        <v>0</v>
      </c>
      <c r="K14" s="461">
        <f t="shared" ref="K14" si="12">J14 + IF(AND(K$4&gt;=$D14,K$4&lt;=$E14), $C14/($E14-$D14+1), 0)</f>
        <v>0</v>
      </c>
      <c r="L14" s="461">
        <f t="shared" ref="L14" si="13">K14 + IF(AND(L$4&gt;=$D14,L$4&lt;=$E14), $C14/($E14-$D14+1), 0)</f>
        <v>0</v>
      </c>
      <c r="M14" s="461">
        <f t="shared" ref="M14" si="14">L14 + IF(AND(M$4&gt;=$D14,M$4&lt;=$E14), $C14/($E14-$D14+1), 0)</f>
        <v>0</v>
      </c>
      <c r="N14" s="461">
        <f t="shared" ref="N14" si="15">M14 + IF(AND(N$4&gt;=$D14,N$4&lt;=$E14), $C14/($E14-$D14+1), 0)</f>
        <v>0</v>
      </c>
      <c r="O14" s="461">
        <f t="shared" ref="O14" si="16">N14 + IF(AND(O$4&gt;=$D14,O$4&lt;=$E14), $C14/($E14-$D14+1), 0)</f>
        <v>0</v>
      </c>
      <c r="P14" s="461">
        <f t="shared" ref="P14" si="17">O14 + IF(AND(P$4&gt;=$D14,P$4&lt;=$E14), $C14/($E14-$D14+1), 0)</f>
        <v>0</v>
      </c>
      <c r="Q14" s="461">
        <f t="shared" ref="Q14" si="18">P14 + IF(AND(Q$4&gt;=$D14,Q$4&lt;=$E14), $C14/($E14-$D14+1), 0)</f>
        <v>0</v>
      </c>
      <c r="R14" s="461">
        <f t="shared" ref="R14" si="19">Q14 + IF(AND(R$4&gt;=$D14,R$4&lt;=$E14), $C14/($E14-$D14+1), 0)</f>
        <v>0</v>
      </c>
      <c r="S14" s="461">
        <f t="shared" ref="S14" si="20">R14 + IF(AND(S$4&gt;=$D14,S$4&lt;=$E14), $C14/($E14-$D14+1), 0)</f>
        <v>0</v>
      </c>
      <c r="T14" s="461">
        <f t="shared" ref="T14" si="21">S14 + IF(AND(T$4&gt;=$D14,T$4&lt;=$E14), $C14/($E14-$D14+1), 0)</f>
        <v>0</v>
      </c>
      <c r="U14" s="461">
        <f t="shared" ref="U14" si="22">T14 + IF(AND(U$4&gt;=$D14,U$4&lt;=$E14), $C14/($E14-$D14+1), 0)</f>
        <v>0</v>
      </c>
      <c r="V14" s="461">
        <f t="shared" ref="V14" si="23">U14 + IF(AND(V$4&gt;=$D14,V$4&lt;=$E14), $C14/($E14-$D14+1), 0)</f>
        <v>0</v>
      </c>
      <c r="W14" s="461">
        <f t="shared" ref="W14" si="24">V14 + IF(AND(W$4&gt;=$D14,W$4&lt;=$E14), $C14/($E14-$D14+1), 0)</f>
        <v>0</v>
      </c>
      <c r="X14" s="461">
        <f t="shared" ref="X14" si="25">W14 + IF(AND(X$4&gt;=$D14,X$4&lt;=$E14), $C14/($E14-$D14+1), 0)</f>
        <v>0</v>
      </c>
      <c r="Y14" s="461">
        <f t="shared" ref="Y14" si="26">X14 + IF(AND(Y$4&gt;=$D14,Y$4&lt;=$E14), $C14/($E14-$D14+1), 0)</f>
        <v>0</v>
      </c>
      <c r="Z14" s="461">
        <f t="shared" ref="Z14" si="27">Y14 + IF(AND(Z$4&gt;=$D14,Z$4&lt;=$E14), $C14/($E14-$D14+1), 0)</f>
        <v>0</v>
      </c>
      <c r="AA14" s="461">
        <f t="shared" ref="AA14" si="28">Z14 + IF(AND(AA$4&gt;=$D14,AA$4&lt;=$E14), $C14/($E14-$D14+1), 0)</f>
        <v>0</v>
      </c>
      <c r="AB14" s="461">
        <f t="shared" ref="AB14" si="29">AA14 + IF(AND(AB$4&gt;=$D14,AB$4&lt;=$E14), $C14/($E14-$D14+1), 0)</f>
        <v>0</v>
      </c>
      <c r="AC14" s="461">
        <f t="shared" ref="AC14" si="30">AB14 + IF(AND(AC$4&gt;=$D14,AC$4&lt;=$E14), $C14/($E14-$D14+1), 0)</f>
        <v>0</v>
      </c>
      <c r="AD14" s="461">
        <f t="shared" ref="AD14" si="31">AC14 + IF(AND(AD$4&gt;=$D14,AD$4&lt;=$E14), $C14/($E14-$D14+1), 0)</f>
        <v>0</v>
      </c>
      <c r="AE14" s="461">
        <f t="shared" ref="AE14" si="32">AD14 + IF(AND(AE$4&gt;=$D14,AE$4&lt;=$E14), $C14/($E14-$D14+1), 0)</f>
        <v>0</v>
      </c>
      <c r="AF14" s="461">
        <f t="shared" ref="AF14" si="33">AE14 + IF(AND(AF$4&gt;=$D14,AF$4&lt;=$E14), $C14/($E14-$D14+1), 0)</f>
        <v>0</v>
      </c>
      <c r="AG14" s="461">
        <f t="shared" ref="AG14" si="34">AF14 + IF(AND(AG$4&gt;=$D14,AG$4&lt;=$E14), $C14/($E14-$D14+1), 0)</f>
        <v>0</v>
      </c>
      <c r="AH14" s="461">
        <f t="shared" ref="AH14" si="35">AG14 + IF(AND(AH$4&gt;=$D14,AH$4&lt;=$E14), $C14/($E14-$D14+1), 0)</f>
        <v>0</v>
      </c>
      <c r="AI14" s="461">
        <f t="shared" ref="AI14" si="36">AH14 + IF(AND(AI$4&gt;=$D14,AI$4&lt;=$E14), $C14/($E14-$D14+1), 0)</f>
        <v>0</v>
      </c>
      <c r="AJ14" s="461">
        <f t="shared" ref="AJ14" si="37">AI14 + IF(AND(AJ$4&gt;=$D14,AJ$4&lt;=$E14), $C14/($E14-$D14+1), 0)</f>
        <v>0</v>
      </c>
      <c r="AK14" s="461">
        <f t="shared" ref="AK14" si="38">AJ14 + IF(AND(AK$4&gt;=$D14,AK$4&lt;=$E14), $C14/($E14-$D14+1), 0)</f>
        <v>0</v>
      </c>
      <c r="AL14" s="461">
        <f t="shared" ref="AL14" si="39">AK14 + IF(AND(AL$4&gt;=$D14,AL$4&lt;=$E14), $C14/($E14-$D14+1), 0)</f>
        <v>0</v>
      </c>
      <c r="AM14" s="461">
        <f t="shared" ref="AM14" si="40">AL14 + IF(AND(AM$4&gt;=$D14,AM$4&lt;=$E14), $C14/($E14-$D14+1), 0)</f>
        <v>0</v>
      </c>
      <c r="AN14" s="461">
        <f t="shared" ref="AN14" si="41">AM14 + IF(AND(AN$4&gt;=$D14,AN$4&lt;=$E14), $C14/($E14-$D14+1), 0)</f>
        <v>0</v>
      </c>
      <c r="AO14" s="461">
        <f t="shared" ref="AO14" si="42">AN14 + IF(AND(AO$4&gt;=$D14,AO$4&lt;=$E14), $C14/($E14-$D14+1), 0)</f>
        <v>0</v>
      </c>
      <c r="AP14" s="461">
        <f t="shared" ref="AP14" si="43">AO14 + IF(AND(AP$4&gt;=$D14,AP$4&lt;=$E14), $C14/($E14-$D14+1), 0)</f>
        <v>0</v>
      </c>
      <c r="AQ14" s="461">
        <f t="shared" ref="AQ14" si="44">AP14 + IF(AND(AQ$4&gt;=$D14,AQ$4&lt;=$E14), $C14/($E14-$D14+1), 0)</f>
        <v>0</v>
      </c>
      <c r="AR14" s="461">
        <f t="shared" ref="AR14" si="45">AQ14 + IF(AND(AR$4&gt;=$D14,AR$4&lt;=$E14), $C14/($E14-$D14+1), 0)</f>
        <v>0</v>
      </c>
      <c r="AS14" s="461">
        <f t="shared" ref="AS14" si="46">AR14 + IF(AND(AS$4&gt;=$D14,AS$4&lt;=$E14), $C14/($E14-$D14+1), 0)</f>
        <v>0</v>
      </c>
      <c r="AT14" s="461">
        <f t="shared" ref="AT14" si="47">AS14 + IF(AND(AT$4&gt;=$D14,AT$4&lt;=$E14), $C14/($E14-$D14+1), 0)</f>
        <v>0</v>
      </c>
    </row>
    <row r="15" spans="2:46">
      <c r="B15" s="260" t="str">
        <f>Milestone_5!O22</f>
        <v>Total estimated % GHG reduction</v>
      </c>
      <c r="C15" s="337">
        <f>Milestone_5!P22</f>
        <v>0</v>
      </c>
      <c r="D15" s="338" t="str">
        <f>IF(ISNUMBER(Milestone_5!Q22),Milestone_5!Q22," ")</f>
        <v xml:space="preserve"> </v>
      </c>
      <c r="E15" s="339" t="str">
        <f>IF(ISNUMBER(Milestone_5!R22),Milestone_5!R22," ")</f>
        <v xml:space="preserve"> </v>
      </c>
      <c r="G15" s="396" t="str">
        <f>"Target: "&amp;C3*100&amp;"% Emissions Reduction from Baseline"</f>
        <v>Target: 0% Emissions Reduction from Baseline</v>
      </c>
      <c r="H15" s="396">
        <f>1-$C$3</f>
        <v>1</v>
      </c>
      <c r="I15" s="396">
        <f t="shared" ref="I15:AT15" si="48">1-$C$3</f>
        <v>1</v>
      </c>
      <c r="J15" s="396">
        <f t="shared" si="48"/>
        <v>1</v>
      </c>
      <c r="K15" s="396">
        <f t="shared" si="48"/>
        <v>1</v>
      </c>
      <c r="L15" s="396">
        <f t="shared" si="48"/>
        <v>1</v>
      </c>
      <c r="M15" s="396">
        <f t="shared" si="48"/>
        <v>1</v>
      </c>
      <c r="N15" s="396">
        <f t="shared" si="48"/>
        <v>1</v>
      </c>
      <c r="O15" s="396">
        <f t="shared" si="48"/>
        <v>1</v>
      </c>
      <c r="P15" s="396">
        <f t="shared" si="48"/>
        <v>1</v>
      </c>
      <c r="Q15" s="396">
        <f t="shared" si="48"/>
        <v>1</v>
      </c>
      <c r="R15" s="396">
        <f t="shared" si="48"/>
        <v>1</v>
      </c>
      <c r="S15" s="396">
        <f t="shared" si="48"/>
        <v>1</v>
      </c>
      <c r="T15" s="396">
        <f t="shared" si="48"/>
        <v>1</v>
      </c>
      <c r="U15" s="396">
        <f t="shared" si="48"/>
        <v>1</v>
      </c>
      <c r="V15" s="396">
        <f t="shared" si="48"/>
        <v>1</v>
      </c>
      <c r="W15" s="396">
        <f t="shared" si="48"/>
        <v>1</v>
      </c>
      <c r="X15" s="396">
        <f t="shared" si="48"/>
        <v>1</v>
      </c>
      <c r="Y15" s="396">
        <f t="shared" si="48"/>
        <v>1</v>
      </c>
      <c r="Z15" s="396">
        <f t="shared" si="48"/>
        <v>1</v>
      </c>
      <c r="AA15" s="396">
        <f t="shared" si="48"/>
        <v>1</v>
      </c>
      <c r="AB15" s="396">
        <f t="shared" si="48"/>
        <v>1</v>
      </c>
      <c r="AC15" s="396">
        <f t="shared" si="48"/>
        <v>1</v>
      </c>
      <c r="AD15" s="396">
        <f t="shared" si="48"/>
        <v>1</v>
      </c>
      <c r="AE15" s="396">
        <f t="shared" si="48"/>
        <v>1</v>
      </c>
      <c r="AF15" s="396">
        <f t="shared" si="48"/>
        <v>1</v>
      </c>
      <c r="AG15" s="396">
        <f t="shared" si="48"/>
        <v>1</v>
      </c>
      <c r="AH15" s="396">
        <f t="shared" si="48"/>
        <v>1</v>
      </c>
      <c r="AI15" s="396">
        <f t="shared" si="48"/>
        <v>1</v>
      </c>
      <c r="AJ15" s="396">
        <f t="shared" si="48"/>
        <v>1</v>
      </c>
      <c r="AK15" s="396">
        <f t="shared" si="48"/>
        <v>1</v>
      </c>
      <c r="AL15" s="396">
        <f t="shared" si="48"/>
        <v>1</v>
      </c>
      <c r="AM15" s="396">
        <f t="shared" si="48"/>
        <v>1</v>
      </c>
      <c r="AN15" s="396">
        <f t="shared" si="48"/>
        <v>1</v>
      </c>
      <c r="AO15" s="396">
        <f t="shared" si="48"/>
        <v>1</v>
      </c>
      <c r="AP15" s="396">
        <f t="shared" si="48"/>
        <v>1</v>
      </c>
      <c r="AQ15" s="396">
        <f t="shared" si="48"/>
        <v>1</v>
      </c>
      <c r="AR15" s="396">
        <f t="shared" si="48"/>
        <v>1</v>
      </c>
      <c r="AS15" s="396">
        <f t="shared" si="48"/>
        <v>1</v>
      </c>
      <c r="AT15" s="396">
        <f t="shared" si="48"/>
        <v>1</v>
      </c>
    </row>
    <row r="16" spans="2:46">
      <c r="C16" s="335"/>
      <c r="E16" s="242"/>
      <c r="G16" s="396" t="s">
        <v>621</v>
      </c>
      <c r="H16" s="400">
        <f>SUM(H6:H14)</f>
        <v>0</v>
      </c>
      <c r="I16" s="400">
        <f t="shared" ref="I16:AT16" si="49">SUM(I6:I14)</f>
        <v>0</v>
      </c>
      <c r="J16" s="400">
        <f t="shared" si="49"/>
        <v>0</v>
      </c>
      <c r="K16" s="400">
        <f t="shared" si="49"/>
        <v>0</v>
      </c>
      <c r="L16" s="400">
        <f t="shared" si="49"/>
        <v>0</v>
      </c>
      <c r="M16" s="400">
        <f t="shared" si="49"/>
        <v>0</v>
      </c>
      <c r="N16" s="400">
        <f t="shared" si="49"/>
        <v>0</v>
      </c>
      <c r="O16" s="400">
        <f t="shared" si="49"/>
        <v>0</v>
      </c>
      <c r="P16" s="400">
        <f t="shared" si="49"/>
        <v>0</v>
      </c>
      <c r="Q16" s="400">
        <f t="shared" si="49"/>
        <v>0</v>
      </c>
      <c r="R16" s="400">
        <f t="shared" si="49"/>
        <v>0</v>
      </c>
      <c r="S16" s="400">
        <f t="shared" si="49"/>
        <v>0</v>
      </c>
      <c r="T16" s="400">
        <f t="shared" si="49"/>
        <v>0</v>
      </c>
      <c r="U16" s="400">
        <f t="shared" si="49"/>
        <v>0</v>
      </c>
      <c r="V16" s="400">
        <f t="shared" si="49"/>
        <v>0</v>
      </c>
      <c r="W16" s="400">
        <f t="shared" si="49"/>
        <v>0</v>
      </c>
      <c r="X16" s="400">
        <f t="shared" si="49"/>
        <v>0</v>
      </c>
      <c r="Y16" s="400">
        <f t="shared" si="49"/>
        <v>0</v>
      </c>
      <c r="Z16" s="400">
        <f t="shared" si="49"/>
        <v>0</v>
      </c>
      <c r="AA16" s="400">
        <f t="shared" si="49"/>
        <v>0</v>
      </c>
      <c r="AB16" s="400">
        <f t="shared" si="49"/>
        <v>0</v>
      </c>
      <c r="AC16" s="400">
        <f t="shared" si="49"/>
        <v>0</v>
      </c>
      <c r="AD16" s="400">
        <f t="shared" si="49"/>
        <v>0</v>
      </c>
      <c r="AE16" s="400">
        <f t="shared" si="49"/>
        <v>0</v>
      </c>
      <c r="AF16" s="400">
        <f t="shared" si="49"/>
        <v>0</v>
      </c>
      <c r="AG16" s="400">
        <f t="shared" si="49"/>
        <v>0</v>
      </c>
      <c r="AH16" s="400">
        <f t="shared" si="49"/>
        <v>0</v>
      </c>
      <c r="AI16" s="400">
        <f t="shared" si="49"/>
        <v>0</v>
      </c>
      <c r="AJ16" s="400">
        <f t="shared" si="49"/>
        <v>0</v>
      </c>
      <c r="AK16" s="400">
        <f t="shared" si="49"/>
        <v>0</v>
      </c>
      <c r="AL16" s="400">
        <f t="shared" si="49"/>
        <v>0</v>
      </c>
      <c r="AM16" s="400">
        <f t="shared" si="49"/>
        <v>0</v>
      </c>
      <c r="AN16" s="400">
        <f t="shared" si="49"/>
        <v>0</v>
      </c>
      <c r="AO16" s="400">
        <f t="shared" si="49"/>
        <v>0</v>
      </c>
      <c r="AP16" s="400">
        <f t="shared" si="49"/>
        <v>0</v>
      </c>
      <c r="AQ16" s="400">
        <f t="shared" si="49"/>
        <v>0</v>
      </c>
      <c r="AR16" s="400">
        <f t="shared" si="49"/>
        <v>0</v>
      </c>
      <c r="AS16" s="400">
        <f t="shared" si="49"/>
        <v>0</v>
      </c>
      <c r="AT16" s="400">
        <f t="shared" si="49"/>
        <v>0</v>
      </c>
    </row>
    <row r="17" spans="2:50">
      <c r="C17" s="335"/>
    </row>
    <row r="18" spans="2:50">
      <c r="AX18" s="64"/>
    </row>
    <row r="19" spans="2:50">
      <c r="B19" s="396" t="str">
        <f>G4</f>
        <v>Technology</v>
      </c>
      <c r="C19" s="396" cm="1">
        <f t="array" ref="C19:AO19">TRANSPOSE(_xlfn.SEQUENCE(E3 - D3 + 2, 1, D3-1, 1))</f>
        <v>2012</v>
      </c>
      <c r="D19" s="396">
        <v>2013</v>
      </c>
      <c r="E19" s="396">
        <v>2014</v>
      </c>
      <c r="F19" s="396">
        <v>2015</v>
      </c>
      <c r="G19" s="396">
        <v>2016</v>
      </c>
      <c r="H19" s="396">
        <v>2017</v>
      </c>
      <c r="I19" s="396">
        <v>2018</v>
      </c>
      <c r="J19" s="396">
        <v>2019</v>
      </c>
      <c r="K19" s="396">
        <v>2020</v>
      </c>
      <c r="L19" s="396">
        <v>2021</v>
      </c>
      <c r="M19" s="396">
        <v>2022</v>
      </c>
      <c r="N19" s="396">
        <v>2023</v>
      </c>
      <c r="O19" s="396">
        <v>2024</v>
      </c>
      <c r="P19" s="396">
        <v>2025</v>
      </c>
      <c r="Q19" s="396">
        <v>2026</v>
      </c>
      <c r="R19" s="396">
        <v>2027</v>
      </c>
      <c r="S19" s="396">
        <v>2028</v>
      </c>
      <c r="T19" s="396">
        <v>2029</v>
      </c>
      <c r="U19" s="396">
        <v>2030</v>
      </c>
      <c r="V19" s="396">
        <v>2031</v>
      </c>
      <c r="W19" s="396">
        <v>2032</v>
      </c>
      <c r="X19" s="396">
        <v>2033</v>
      </c>
      <c r="Y19" s="396">
        <v>2034</v>
      </c>
      <c r="Z19" s="396">
        <v>2035</v>
      </c>
      <c r="AA19" s="396">
        <v>2036</v>
      </c>
      <c r="AB19" s="396">
        <v>2037</v>
      </c>
      <c r="AC19" s="396">
        <v>2038</v>
      </c>
      <c r="AD19" s="396">
        <v>2039</v>
      </c>
      <c r="AE19" s="396">
        <v>2040</v>
      </c>
      <c r="AF19" s="396">
        <v>2041</v>
      </c>
      <c r="AG19" s="396">
        <v>2042</v>
      </c>
      <c r="AH19" s="396">
        <v>2043</v>
      </c>
      <c r="AI19" s="396">
        <v>2044</v>
      </c>
      <c r="AJ19" s="396">
        <v>2045</v>
      </c>
      <c r="AK19" s="396">
        <v>2046</v>
      </c>
      <c r="AL19" s="396">
        <v>2047</v>
      </c>
      <c r="AM19" s="396">
        <v>2048</v>
      </c>
      <c r="AN19" s="396">
        <v>2049</v>
      </c>
      <c r="AO19" s="396">
        <v>2050</v>
      </c>
      <c r="AP19" s="396"/>
      <c r="AQ19" s="396"/>
    </row>
    <row r="20" spans="2:50">
      <c r="B20" s="396" t="str">
        <f>G5</f>
        <v>Baseline</v>
      </c>
      <c r="C20" s="396" cm="1">
        <f t="array" aca="1" ref="C20:AQ30" ca="1">OFFSET(H5, 0, MATCH(D3-1, H4:AT4, 0)-1, ROWS(H5:H15), COUNT(H4:AT4)+2)</f>
        <v>1</v>
      </c>
      <c r="D20" s="400">
        <f ca="1"/>
        <v>1</v>
      </c>
      <c r="E20" s="400">
        <f ca="1"/>
        <v>1</v>
      </c>
      <c r="F20" s="400">
        <f ca="1"/>
        <v>1</v>
      </c>
      <c r="G20" s="400">
        <f ca="1"/>
        <v>1</v>
      </c>
      <c r="H20" s="400">
        <f ca="1"/>
        <v>1</v>
      </c>
      <c r="I20" s="400">
        <f ca="1"/>
        <v>1</v>
      </c>
      <c r="J20" s="400">
        <f ca="1"/>
        <v>1</v>
      </c>
      <c r="K20" s="400">
        <f ca="1"/>
        <v>1</v>
      </c>
      <c r="L20" s="400">
        <f ca="1"/>
        <v>1</v>
      </c>
      <c r="M20" s="400">
        <f ca="1"/>
        <v>1</v>
      </c>
      <c r="N20" s="400">
        <f ca="1"/>
        <v>1</v>
      </c>
      <c r="O20" s="400">
        <f ca="1"/>
        <v>1</v>
      </c>
      <c r="P20" s="400">
        <f ca="1"/>
        <v>1</v>
      </c>
      <c r="Q20" s="400">
        <f ca="1"/>
        <v>1</v>
      </c>
      <c r="R20" s="400">
        <f ca="1"/>
        <v>1</v>
      </c>
      <c r="S20" s="400">
        <f ca="1"/>
        <v>1</v>
      </c>
      <c r="T20" s="400">
        <f ca="1"/>
        <v>1</v>
      </c>
      <c r="U20" s="400">
        <f ca="1"/>
        <v>1</v>
      </c>
      <c r="V20" s="400">
        <f ca="1"/>
        <v>1</v>
      </c>
      <c r="W20" s="400">
        <f ca="1"/>
        <v>1</v>
      </c>
      <c r="X20" s="400">
        <f ca="1"/>
        <v>1</v>
      </c>
      <c r="Y20" s="400">
        <f ca="1"/>
        <v>1</v>
      </c>
      <c r="Z20" s="400">
        <f ca="1"/>
        <v>1</v>
      </c>
      <c r="AA20" s="400">
        <f ca="1"/>
        <v>1</v>
      </c>
      <c r="AB20" s="400">
        <f ca="1"/>
        <v>1</v>
      </c>
      <c r="AC20" s="400">
        <f ca="1"/>
        <v>1</v>
      </c>
      <c r="AD20" s="400">
        <f ca="1"/>
        <v>1</v>
      </c>
      <c r="AE20" s="400">
        <f ca="1"/>
        <v>1</v>
      </c>
      <c r="AF20" s="400">
        <f ca="1"/>
        <v>1</v>
      </c>
      <c r="AG20" s="400">
        <f ca="1"/>
        <v>1</v>
      </c>
      <c r="AH20" s="400">
        <f ca="1"/>
        <v>1</v>
      </c>
      <c r="AI20" s="400">
        <f ca="1"/>
        <v>1</v>
      </c>
      <c r="AJ20" s="400">
        <f ca="1"/>
        <v>1</v>
      </c>
      <c r="AK20" s="400">
        <f ca="1"/>
        <v>1</v>
      </c>
      <c r="AL20" s="400">
        <f ca="1"/>
        <v>1</v>
      </c>
      <c r="AM20" s="400">
        <f ca="1"/>
        <v>1</v>
      </c>
      <c r="AN20" s="400">
        <f ca="1"/>
        <v>1</v>
      </c>
      <c r="AO20" s="400">
        <f ca="1"/>
        <v>1</v>
      </c>
      <c r="AP20" s="400">
        <f ca="1"/>
        <v>0</v>
      </c>
      <c r="AQ20" s="400">
        <f ca="1"/>
        <v>0</v>
      </c>
    </row>
    <row r="21" spans="2:50">
      <c r="B21" s="396" t="str">
        <f>G6</f>
        <v>Energy efficiency</v>
      </c>
      <c r="C21" s="396">
        <f ca="1"/>
        <v>0</v>
      </c>
      <c r="D21" s="400">
        <f ca="1"/>
        <v>0</v>
      </c>
      <c r="E21" s="400">
        <f ca="1"/>
        <v>0</v>
      </c>
      <c r="F21" s="400">
        <f ca="1"/>
        <v>0</v>
      </c>
      <c r="G21" s="400">
        <f ca="1"/>
        <v>0</v>
      </c>
      <c r="H21" s="400">
        <f ca="1"/>
        <v>0</v>
      </c>
      <c r="I21" s="400">
        <f ca="1"/>
        <v>0</v>
      </c>
      <c r="J21" s="400">
        <f ca="1"/>
        <v>0</v>
      </c>
      <c r="K21" s="400">
        <f ca="1"/>
        <v>0</v>
      </c>
      <c r="L21" s="400">
        <f ca="1"/>
        <v>0</v>
      </c>
      <c r="M21" s="400">
        <f ca="1"/>
        <v>0</v>
      </c>
      <c r="N21" s="400">
        <f ca="1"/>
        <v>0</v>
      </c>
      <c r="O21" s="400">
        <f ca="1"/>
        <v>0</v>
      </c>
      <c r="P21" s="400">
        <f ca="1"/>
        <v>0</v>
      </c>
      <c r="Q21" s="400">
        <f ca="1"/>
        <v>0</v>
      </c>
      <c r="R21" s="400">
        <f ca="1"/>
        <v>0</v>
      </c>
      <c r="S21" s="400">
        <f ca="1"/>
        <v>0</v>
      </c>
      <c r="T21" s="400">
        <f ca="1"/>
        <v>0</v>
      </c>
      <c r="U21" s="400">
        <f ca="1"/>
        <v>0</v>
      </c>
      <c r="V21" s="400">
        <f ca="1"/>
        <v>0</v>
      </c>
      <c r="W21" s="400">
        <f ca="1"/>
        <v>0</v>
      </c>
      <c r="X21" s="400">
        <f ca="1"/>
        <v>0</v>
      </c>
      <c r="Y21" s="400">
        <f ca="1"/>
        <v>0</v>
      </c>
      <c r="Z21" s="400">
        <f ca="1"/>
        <v>0</v>
      </c>
      <c r="AA21" s="400">
        <f ca="1"/>
        <v>0</v>
      </c>
      <c r="AB21" s="400">
        <f ca="1"/>
        <v>0</v>
      </c>
      <c r="AC21" s="400">
        <f ca="1"/>
        <v>0</v>
      </c>
      <c r="AD21" s="400">
        <f ca="1"/>
        <v>0</v>
      </c>
      <c r="AE21" s="400">
        <f ca="1"/>
        <v>0</v>
      </c>
      <c r="AF21" s="400">
        <f ca="1"/>
        <v>0</v>
      </c>
      <c r="AG21" s="400">
        <f ca="1"/>
        <v>0</v>
      </c>
      <c r="AH21" s="400">
        <f ca="1"/>
        <v>0</v>
      </c>
      <c r="AI21" s="400">
        <f ca="1"/>
        <v>0</v>
      </c>
      <c r="AJ21" s="400">
        <f ca="1"/>
        <v>0</v>
      </c>
      <c r="AK21" s="400">
        <f ca="1"/>
        <v>0</v>
      </c>
      <c r="AL21" s="400">
        <f ca="1"/>
        <v>0</v>
      </c>
      <c r="AM21" s="400">
        <f ca="1"/>
        <v>0</v>
      </c>
      <c r="AN21" s="400">
        <f ca="1"/>
        <v>0</v>
      </c>
      <c r="AO21" s="400">
        <f ca="1"/>
        <v>0</v>
      </c>
      <c r="AP21" s="400">
        <f ca="1"/>
        <v>0</v>
      </c>
      <c r="AQ21" s="400">
        <f ca="1"/>
        <v>0</v>
      </c>
    </row>
    <row r="22" spans="2:50">
      <c r="B22" s="396" t="str">
        <f>G7</f>
        <v>Electrification technology</v>
      </c>
      <c r="C22" s="396">
        <f ca="1"/>
        <v>0</v>
      </c>
      <c r="D22" s="400">
        <f ca="1"/>
        <v>0</v>
      </c>
      <c r="E22" s="400">
        <f ca="1"/>
        <v>0</v>
      </c>
      <c r="F22" s="400">
        <f ca="1"/>
        <v>0</v>
      </c>
      <c r="G22" s="400">
        <f ca="1"/>
        <v>0</v>
      </c>
      <c r="H22" s="400">
        <f ca="1"/>
        <v>0</v>
      </c>
      <c r="I22" s="400">
        <f ca="1"/>
        <v>0</v>
      </c>
      <c r="J22" s="400">
        <f ca="1"/>
        <v>0</v>
      </c>
      <c r="K22" s="400">
        <f ca="1"/>
        <v>0</v>
      </c>
      <c r="L22" s="400">
        <f ca="1"/>
        <v>0</v>
      </c>
      <c r="M22" s="400">
        <f ca="1"/>
        <v>0</v>
      </c>
      <c r="N22" s="400">
        <f ca="1"/>
        <v>0</v>
      </c>
      <c r="O22" s="400">
        <f ca="1"/>
        <v>0</v>
      </c>
      <c r="P22" s="400">
        <f ca="1"/>
        <v>0</v>
      </c>
      <c r="Q22" s="400">
        <f ca="1"/>
        <v>0</v>
      </c>
      <c r="R22" s="400">
        <f ca="1"/>
        <v>0</v>
      </c>
      <c r="S22" s="400">
        <f ca="1"/>
        <v>0</v>
      </c>
      <c r="T22" s="400">
        <f ca="1"/>
        <v>0</v>
      </c>
      <c r="U22" s="400">
        <f ca="1"/>
        <v>0</v>
      </c>
      <c r="V22" s="400">
        <f ca="1"/>
        <v>0</v>
      </c>
      <c r="W22" s="400">
        <f ca="1"/>
        <v>0</v>
      </c>
      <c r="X22" s="400">
        <f ca="1"/>
        <v>0</v>
      </c>
      <c r="Y22" s="400">
        <f ca="1"/>
        <v>0</v>
      </c>
      <c r="Z22" s="400">
        <f ca="1"/>
        <v>0</v>
      </c>
      <c r="AA22" s="400">
        <f ca="1"/>
        <v>0</v>
      </c>
      <c r="AB22" s="400">
        <f ca="1"/>
        <v>0</v>
      </c>
      <c r="AC22" s="400">
        <f ca="1"/>
        <v>0</v>
      </c>
      <c r="AD22" s="400">
        <f ca="1"/>
        <v>0</v>
      </c>
      <c r="AE22" s="400">
        <f ca="1"/>
        <v>0</v>
      </c>
      <c r="AF22" s="400">
        <f ca="1"/>
        <v>0</v>
      </c>
      <c r="AG22" s="400">
        <f ca="1"/>
        <v>0</v>
      </c>
      <c r="AH22" s="400">
        <f ca="1"/>
        <v>0</v>
      </c>
      <c r="AI22" s="400">
        <f ca="1"/>
        <v>0</v>
      </c>
      <c r="AJ22" s="400">
        <f ca="1"/>
        <v>0</v>
      </c>
      <c r="AK22" s="400">
        <f ca="1"/>
        <v>0</v>
      </c>
      <c r="AL22" s="400">
        <f ca="1"/>
        <v>0</v>
      </c>
      <c r="AM22" s="400">
        <f ca="1"/>
        <v>0</v>
      </c>
      <c r="AN22" s="400">
        <f ca="1"/>
        <v>0</v>
      </c>
      <c r="AO22" s="400">
        <f ca="1"/>
        <v>0</v>
      </c>
      <c r="AP22" s="400">
        <f ca="1"/>
        <v>0</v>
      </c>
      <c r="AQ22" s="400">
        <f ca="1"/>
        <v>0</v>
      </c>
    </row>
    <row r="23" spans="2:50">
      <c r="B23" s="396" t="str">
        <f>G8</f>
        <v>On-site Renewable energy production</v>
      </c>
      <c r="C23" s="396">
        <f ca="1"/>
        <v>0</v>
      </c>
      <c r="D23" s="400">
        <f ca="1"/>
        <v>0</v>
      </c>
      <c r="E23" s="400">
        <f ca="1"/>
        <v>0</v>
      </c>
      <c r="F23" s="400">
        <f ca="1"/>
        <v>0</v>
      </c>
      <c r="G23" s="400">
        <f ca="1"/>
        <v>0</v>
      </c>
      <c r="H23" s="400">
        <f ca="1"/>
        <v>0</v>
      </c>
      <c r="I23" s="400">
        <f ca="1"/>
        <v>0</v>
      </c>
      <c r="J23" s="400">
        <f ca="1"/>
        <v>0</v>
      </c>
      <c r="K23" s="400">
        <f ca="1"/>
        <v>0</v>
      </c>
      <c r="L23" s="400">
        <f ca="1"/>
        <v>0</v>
      </c>
      <c r="M23" s="400">
        <f ca="1"/>
        <v>0</v>
      </c>
      <c r="N23" s="400">
        <f ca="1"/>
        <v>0</v>
      </c>
      <c r="O23" s="400">
        <f ca="1"/>
        <v>0</v>
      </c>
      <c r="P23" s="400">
        <f ca="1"/>
        <v>0</v>
      </c>
      <c r="Q23" s="400">
        <f ca="1"/>
        <v>0</v>
      </c>
      <c r="R23" s="400">
        <f ca="1"/>
        <v>0</v>
      </c>
      <c r="S23" s="400">
        <f ca="1"/>
        <v>0</v>
      </c>
      <c r="T23" s="400">
        <f ca="1"/>
        <v>0</v>
      </c>
      <c r="U23" s="400">
        <f ca="1"/>
        <v>0</v>
      </c>
      <c r="V23" s="400">
        <f ca="1"/>
        <v>0</v>
      </c>
      <c r="W23" s="400">
        <f ca="1"/>
        <v>0</v>
      </c>
      <c r="X23" s="400">
        <f ca="1"/>
        <v>0</v>
      </c>
      <c r="Y23" s="400">
        <f ca="1"/>
        <v>0</v>
      </c>
      <c r="Z23" s="400">
        <f ca="1"/>
        <v>0</v>
      </c>
      <c r="AA23" s="400">
        <f ca="1"/>
        <v>0</v>
      </c>
      <c r="AB23" s="400">
        <f ca="1"/>
        <v>0</v>
      </c>
      <c r="AC23" s="400">
        <f ca="1"/>
        <v>0</v>
      </c>
      <c r="AD23" s="400">
        <f ca="1"/>
        <v>0</v>
      </c>
      <c r="AE23" s="400">
        <f ca="1"/>
        <v>0</v>
      </c>
      <c r="AF23" s="400">
        <f ca="1"/>
        <v>0</v>
      </c>
      <c r="AG23" s="400">
        <f ca="1"/>
        <v>0</v>
      </c>
      <c r="AH23" s="400">
        <f ca="1"/>
        <v>0</v>
      </c>
      <c r="AI23" s="400">
        <f ca="1"/>
        <v>0</v>
      </c>
      <c r="AJ23" s="400">
        <f ca="1"/>
        <v>0</v>
      </c>
      <c r="AK23" s="400">
        <f ca="1"/>
        <v>0</v>
      </c>
      <c r="AL23" s="400">
        <f ca="1"/>
        <v>0</v>
      </c>
      <c r="AM23" s="400">
        <f ca="1"/>
        <v>0</v>
      </c>
      <c r="AN23" s="400">
        <f ca="1"/>
        <v>0</v>
      </c>
      <c r="AO23" s="400">
        <f ca="1"/>
        <v>0</v>
      </c>
      <c r="AP23" s="400">
        <f ca="1"/>
        <v>0</v>
      </c>
      <c r="AQ23" s="400">
        <f ca="1"/>
        <v>0</v>
      </c>
    </row>
    <row r="24" spans="2:50">
      <c r="B24" s="396" t="str">
        <f t="shared" ref="B24:B29" si="50">G9</f>
        <v>Renewable energy procurement</v>
      </c>
      <c r="C24" s="396">
        <f ca="1"/>
        <v>0</v>
      </c>
      <c r="D24" s="400">
        <f ca="1"/>
        <v>0</v>
      </c>
      <c r="E24" s="400">
        <f ca="1"/>
        <v>0</v>
      </c>
      <c r="F24" s="400">
        <f ca="1"/>
        <v>0</v>
      </c>
      <c r="G24" s="400">
        <f ca="1"/>
        <v>0</v>
      </c>
      <c r="H24" s="400">
        <f ca="1"/>
        <v>0</v>
      </c>
      <c r="I24" s="400">
        <f ca="1"/>
        <v>0</v>
      </c>
      <c r="J24" s="400">
        <f ca="1"/>
        <v>0</v>
      </c>
      <c r="K24" s="400">
        <f ca="1"/>
        <v>0</v>
      </c>
      <c r="L24" s="400">
        <f ca="1"/>
        <v>0</v>
      </c>
      <c r="M24" s="400">
        <f ca="1"/>
        <v>0</v>
      </c>
      <c r="N24" s="400">
        <f ca="1"/>
        <v>0</v>
      </c>
      <c r="O24" s="400">
        <f ca="1"/>
        <v>0</v>
      </c>
      <c r="P24" s="400">
        <f ca="1"/>
        <v>0</v>
      </c>
      <c r="Q24" s="400">
        <f ca="1"/>
        <v>0</v>
      </c>
      <c r="R24" s="400">
        <f ca="1"/>
        <v>0</v>
      </c>
      <c r="S24" s="400">
        <f ca="1"/>
        <v>0</v>
      </c>
      <c r="T24" s="400">
        <f ca="1"/>
        <v>0</v>
      </c>
      <c r="U24" s="400">
        <f ca="1"/>
        <v>0</v>
      </c>
      <c r="V24" s="400">
        <f ca="1"/>
        <v>0</v>
      </c>
      <c r="W24" s="400">
        <f ca="1"/>
        <v>0</v>
      </c>
      <c r="X24" s="400">
        <f ca="1"/>
        <v>0</v>
      </c>
      <c r="Y24" s="400">
        <f ca="1"/>
        <v>0</v>
      </c>
      <c r="Z24" s="400">
        <f ca="1"/>
        <v>0</v>
      </c>
      <c r="AA24" s="400">
        <f ca="1"/>
        <v>0</v>
      </c>
      <c r="AB24" s="400">
        <f ca="1"/>
        <v>0</v>
      </c>
      <c r="AC24" s="400">
        <f ca="1"/>
        <v>0</v>
      </c>
      <c r="AD24" s="400">
        <f ca="1"/>
        <v>0</v>
      </c>
      <c r="AE24" s="400">
        <f ca="1"/>
        <v>0</v>
      </c>
      <c r="AF24" s="400">
        <f ca="1"/>
        <v>0</v>
      </c>
      <c r="AG24" s="400">
        <f ca="1"/>
        <v>0</v>
      </c>
      <c r="AH24" s="400">
        <f ca="1"/>
        <v>0</v>
      </c>
      <c r="AI24" s="400">
        <f ca="1"/>
        <v>0</v>
      </c>
      <c r="AJ24" s="400">
        <f ca="1"/>
        <v>0</v>
      </c>
      <c r="AK24" s="400">
        <f ca="1"/>
        <v>0</v>
      </c>
      <c r="AL24" s="400">
        <f ca="1"/>
        <v>0</v>
      </c>
      <c r="AM24" s="400">
        <f ca="1"/>
        <v>0</v>
      </c>
      <c r="AN24" s="400">
        <f ca="1"/>
        <v>0</v>
      </c>
      <c r="AO24" s="400">
        <f ca="1"/>
        <v>0</v>
      </c>
      <c r="AP24" s="400">
        <f ca="1"/>
        <v>0</v>
      </c>
      <c r="AQ24" s="400">
        <f ca="1"/>
        <v>0</v>
      </c>
    </row>
    <row r="25" spans="2:50">
      <c r="B25" s="396" t="str">
        <f t="shared" si="50"/>
        <v>Low carbon fuels (e.g. biofuels and H2)</v>
      </c>
      <c r="C25" s="396">
        <f ca="1"/>
        <v>0</v>
      </c>
      <c r="D25" s="400">
        <f ca="1"/>
        <v>0</v>
      </c>
      <c r="E25" s="400">
        <f ca="1"/>
        <v>0</v>
      </c>
      <c r="F25" s="400">
        <f ca="1"/>
        <v>0</v>
      </c>
      <c r="G25" s="400">
        <f ca="1"/>
        <v>0</v>
      </c>
      <c r="H25" s="400">
        <f ca="1"/>
        <v>0</v>
      </c>
      <c r="I25" s="400">
        <f ca="1"/>
        <v>0</v>
      </c>
      <c r="J25" s="400">
        <f ca="1"/>
        <v>0</v>
      </c>
      <c r="K25" s="400">
        <f ca="1"/>
        <v>0</v>
      </c>
      <c r="L25" s="400">
        <f ca="1"/>
        <v>0</v>
      </c>
      <c r="M25" s="400">
        <f ca="1"/>
        <v>0</v>
      </c>
      <c r="N25" s="400">
        <f ca="1"/>
        <v>0</v>
      </c>
      <c r="O25" s="400">
        <f ca="1"/>
        <v>0</v>
      </c>
      <c r="P25" s="400">
        <f ca="1"/>
        <v>0</v>
      </c>
      <c r="Q25" s="400">
        <f ca="1"/>
        <v>0</v>
      </c>
      <c r="R25" s="400">
        <f ca="1"/>
        <v>0</v>
      </c>
      <c r="S25" s="400">
        <f ca="1"/>
        <v>0</v>
      </c>
      <c r="T25" s="400">
        <f ca="1"/>
        <v>0</v>
      </c>
      <c r="U25" s="400">
        <f ca="1"/>
        <v>0</v>
      </c>
      <c r="V25" s="400">
        <f ca="1"/>
        <v>0</v>
      </c>
      <c r="W25" s="400">
        <f ca="1"/>
        <v>0</v>
      </c>
      <c r="X25" s="400">
        <f ca="1"/>
        <v>0</v>
      </c>
      <c r="Y25" s="400">
        <f ca="1"/>
        <v>0</v>
      </c>
      <c r="Z25" s="400">
        <f ca="1"/>
        <v>0</v>
      </c>
      <c r="AA25" s="400">
        <f ca="1"/>
        <v>0</v>
      </c>
      <c r="AB25" s="400">
        <f ca="1"/>
        <v>0</v>
      </c>
      <c r="AC25" s="400">
        <f ca="1"/>
        <v>0</v>
      </c>
      <c r="AD25" s="400">
        <f ca="1"/>
        <v>0</v>
      </c>
      <c r="AE25" s="400">
        <f ca="1"/>
        <v>0</v>
      </c>
      <c r="AF25" s="400">
        <f ca="1"/>
        <v>0</v>
      </c>
      <c r="AG25" s="400">
        <f ca="1"/>
        <v>0</v>
      </c>
      <c r="AH25" s="400">
        <f ca="1"/>
        <v>0</v>
      </c>
      <c r="AI25" s="400">
        <f ca="1"/>
        <v>0</v>
      </c>
      <c r="AJ25" s="400">
        <f ca="1"/>
        <v>0</v>
      </c>
      <c r="AK25" s="400">
        <f ca="1"/>
        <v>0</v>
      </c>
      <c r="AL25" s="400">
        <f ca="1"/>
        <v>0</v>
      </c>
      <c r="AM25" s="400">
        <f ca="1"/>
        <v>0</v>
      </c>
      <c r="AN25" s="400">
        <f ca="1"/>
        <v>0</v>
      </c>
      <c r="AO25" s="400">
        <f ca="1"/>
        <v>0</v>
      </c>
      <c r="AP25" s="400">
        <f ca="1"/>
        <v>0</v>
      </c>
      <c r="AQ25" s="400">
        <f ca="1"/>
        <v>0</v>
      </c>
    </row>
    <row r="26" spans="2:50">
      <c r="B26" s="396" t="str">
        <f t="shared" si="50"/>
        <v>Fugitive, Mobile and process emission reduction</v>
      </c>
      <c r="C26" s="396">
        <f ca="1"/>
        <v>0</v>
      </c>
      <c r="D26" s="400">
        <f ca="1"/>
        <v>0</v>
      </c>
      <c r="E26" s="400">
        <f ca="1"/>
        <v>0</v>
      </c>
      <c r="F26" s="400">
        <f ca="1"/>
        <v>0</v>
      </c>
      <c r="G26" s="400">
        <f ca="1"/>
        <v>0</v>
      </c>
      <c r="H26" s="400">
        <f ca="1"/>
        <v>0</v>
      </c>
      <c r="I26" s="400">
        <f ca="1"/>
        <v>0</v>
      </c>
      <c r="J26" s="400">
        <f ca="1"/>
        <v>0</v>
      </c>
      <c r="K26" s="400">
        <f ca="1"/>
        <v>0</v>
      </c>
      <c r="L26" s="400">
        <f ca="1"/>
        <v>0</v>
      </c>
      <c r="M26" s="400">
        <f ca="1"/>
        <v>0</v>
      </c>
      <c r="N26" s="400">
        <f ca="1"/>
        <v>0</v>
      </c>
      <c r="O26" s="400">
        <f ca="1"/>
        <v>0</v>
      </c>
      <c r="P26" s="400">
        <f ca="1"/>
        <v>0</v>
      </c>
      <c r="Q26" s="400">
        <f ca="1"/>
        <v>0</v>
      </c>
      <c r="R26" s="400">
        <f ca="1"/>
        <v>0</v>
      </c>
      <c r="S26" s="400">
        <f ca="1"/>
        <v>0</v>
      </c>
      <c r="T26" s="400">
        <f ca="1"/>
        <v>0</v>
      </c>
      <c r="U26" s="400">
        <f ca="1"/>
        <v>0</v>
      </c>
      <c r="V26" s="400">
        <f ca="1"/>
        <v>0</v>
      </c>
      <c r="W26" s="400">
        <f ca="1"/>
        <v>0</v>
      </c>
      <c r="X26" s="400">
        <f ca="1"/>
        <v>0</v>
      </c>
      <c r="Y26" s="400">
        <f ca="1"/>
        <v>0</v>
      </c>
      <c r="Z26" s="400">
        <f ca="1"/>
        <v>0</v>
      </c>
      <c r="AA26" s="400">
        <f ca="1"/>
        <v>0</v>
      </c>
      <c r="AB26" s="400">
        <f ca="1"/>
        <v>0</v>
      </c>
      <c r="AC26" s="400">
        <f ca="1"/>
        <v>0</v>
      </c>
      <c r="AD26" s="400">
        <f ca="1"/>
        <v>0</v>
      </c>
      <c r="AE26" s="400">
        <f ca="1"/>
        <v>0</v>
      </c>
      <c r="AF26" s="400">
        <f ca="1"/>
        <v>0</v>
      </c>
      <c r="AG26" s="400">
        <f ca="1"/>
        <v>0</v>
      </c>
      <c r="AH26" s="400">
        <f ca="1"/>
        <v>0</v>
      </c>
      <c r="AI26" s="400">
        <f ca="1"/>
        <v>0</v>
      </c>
      <c r="AJ26" s="400">
        <f ca="1"/>
        <v>0</v>
      </c>
      <c r="AK26" s="400">
        <f ca="1"/>
        <v>0</v>
      </c>
      <c r="AL26" s="400">
        <f ca="1"/>
        <v>0</v>
      </c>
      <c r="AM26" s="400">
        <f ca="1"/>
        <v>0</v>
      </c>
      <c r="AN26" s="400">
        <f ca="1"/>
        <v>0</v>
      </c>
      <c r="AO26" s="400">
        <f ca="1"/>
        <v>0</v>
      </c>
      <c r="AP26" s="400">
        <f ca="1"/>
        <v>0</v>
      </c>
      <c r="AQ26" s="400">
        <f ca="1"/>
        <v>0</v>
      </c>
    </row>
    <row r="27" spans="2:50">
      <c r="B27" s="396" t="str">
        <f t="shared" si="50"/>
        <v xml:space="preserve">Energy storage, grid resiliency and interactivity </v>
      </c>
      <c r="C27" s="396">
        <f ca="1"/>
        <v>0</v>
      </c>
      <c r="D27" s="400">
        <f ca="1"/>
        <v>0</v>
      </c>
      <c r="E27" s="400">
        <f ca="1"/>
        <v>0</v>
      </c>
      <c r="F27" s="400">
        <f ca="1"/>
        <v>0</v>
      </c>
      <c r="G27" s="400">
        <f ca="1"/>
        <v>0</v>
      </c>
      <c r="H27" s="400">
        <f ca="1"/>
        <v>0</v>
      </c>
      <c r="I27" s="400">
        <f ca="1"/>
        <v>0</v>
      </c>
      <c r="J27" s="400">
        <f ca="1"/>
        <v>0</v>
      </c>
      <c r="K27" s="400">
        <f ca="1"/>
        <v>0</v>
      </c>
      <c r="L27" s="400">
        <f ca="1"/>
        <v>0</v>
      </c>
      <c r="M27" s="400">
        <f ca="1"/>
        <v>0</v>
      </c>
      <c r="N27" s="400">
        <f ca="1"/>
        <v>0</v>
      </c>
      <c r="O27" s="400">
        <f ca="1"/>
        <v>0</v>
      </c>
      <c r="P27" s="400">
        <f ca="1"/>
        <v>0</v>
      </c>
      <c r="Q27" s="400">
        <f ca="1"/>
        <v>0</v>
      </c>
      <c r="R27" s="400">
        <f ca="1"/>
        <v>0</v>
      </c>
      <c r="S27" s="400">
        <f ca="1"/>
        <v>0</v>
      </c>
      <c r="T27" s="400">
        <f ca="1"/>
        <v>0</v>
      </c>
      <c r="U27" s="400">
        <f ca="1"/>
        <v>0</v>
      </c>
      <c r="V27" s="400">
        <f ca="1"/>
        <v>0</v>
      </c>
      <c r="W27" s="400">
        <f ca="1"/>
        <v>0</v>
      </c>
      <c r="X27" s="400">
        <f ca="1"/>
        <v>0</v>
      </c>
      <c r="Y27" s="400">
        <f ca="1"/>
        <v>0</v>
      </c>
      <c r="Z27" s="400">
        <f ca="1"/>
        <v>0</v>
      </c>
      <c r="AA27" s="400">
        <f ca="1"/>
        <v>0</v>
      </c>
      <c r="AB27" s="400">
        <f ca="1"/>
        <v>0</v>
      </c>
      <c r="AC27" s="400">
        <f ca="1"/>
        <v>0</v>
      </c>
      <c r="AD27" s="400">
        <f ca="1"/>
        <v>0</v>
      </c>
      <c r="AE27" s="400">
        <f ca="1"/>
        <v>0</v>
      </c>
      <c r="AF27" s="400">
        <f ca="1"/>
        <v>0</v>
      </c>
      <c r="AG27" s="400">
        <f ca="1"/>
        <v>0</v>
      </c>
      <c r="AH27" s="400">
        <f ca="1"/>
        <v>0</v>
      </c>
      <c r="AI27" s="400">
        <f ca="1"/>
        <v>0</v>
      </c>
      <c r="AJ27" s="400">
        <f ca="1"/>
        <v>0</v>
      </c>
      <c r="AK27" s="400">
        <f ca="1"/>
        <v>0</v>
      </c>
      <c r="AL27" s="400">
        <f ca="1"/>
        <v>0</v>
      </c>
      <c r="AM27" s="400">
        <f ca="1"/>
        <v>0</v>
      </c>
      <c r="AN27" s="400">
        <f ca="1"/>
        <v>0</v>
      </c>
      <c r="AO27" s="400">
        <f ca="1"/>
        <v>0</v>
      </c>
      <c r="AP27" s="400">
        <f ca="1"/>
        <v>0</v>
      </c>
      <c r="AQ27" s="400">
        <f ca="1"/>
        <v>0</v>
      </c>
    </row>
    <row r="28" spans="2:50">
      <c r="B28" s="396" t="str">
        <f t="shared" si="50"/>
        <v>Carbon capture utilization &amp; storage</v>
      </c>
      <c r="C28" s="396">
        <f ca="1"/>
        <v>0</v>
      </c>
      <c r="D28" s="400">
        <f ca="1"/>
        <v>0</v>
      </c>
      <c r="E28" s="400">
        <f ca="1"/>
        <v>0</v>
      </c>
      <c r="F28" s="400">
        <f ca="1"/>
        <v>0</v>
      </c>
      <c r="G28" s="400">
        <f ca="1"/>
        <v>0</v>
      </c>
      <c r="H28" s="400">
        <f ca="1"/>
        <v>0</v>
      </c>
      <c r="I28" s="400">
        <f ca="1"/>
        <v>0</v>
      </c>
      <c r="J28" s="400">
        <f ca="1"/>
        <v>0</v>
      </c>
      <c r="K28" s="400">
        <f ca="1"/>
        <v>0</v>
      </c>
      <c r="L28" s="400">
        <f ca="1"/>
        <v>0</v>
      </c>
      <c r="M28" s="400">
        <f ca="1"/>
        <v>0</v>
      </c>
      <c r="N28" s="400">
        <f ca="1"/>
        <v>0</v>
      </c>
      <c r="O28" s="400">
        <f ca="1"/>
        <v>0</v>
      </c>
      <c r="P28" s="400">
        <f ca="1"/>
        <v>0</v>
      </c>
      <c r="Q28" s="400">
        <f ca="1"/>
        <v>0</v>
      </c>
      <c r="R28" s="400">
        <f ca="1"/>
        <v>0</v>
      </c>
      <c r="S28" s="400">
        <f ca="1"/>
        <v>0</v>
      </c>
      <c r="T28" s="400">
        <f ca="1"/>
        <v>0</v>
      </c>
      <c r="U28" s="400">
        <f ca="1"/>
        <v>0</v>
      </c>
      <c r="V28" s="400">
        <f ca="1"/>
        <v>0</v>
      </c>
      <c r="W28" s="400">
        <f ca="1"/>
        <v>0</v>
      </c>
      <c r="X28" s="400">
        <f ca="1"/>
        <v>0</v>
      </c>
      <c r="Y28" s="400">
        <f ca="1"/>
        <v>0</v>
      </c>
      <c r="Z28" s="400">
        <f ca="1"/>
        <v>0</v>
      </c>
      <c r="AA28" s="400">
        <f ca="1"/>
        <v>0</v>
      </c>
      <c r="AB28" s="400">
        <f ca="1"/>
        <v>0</v>
      </c>
      <c r="AC28" s="400">
        <f ca="1"/>
        <v>0</v>
      </c>
      <c r="AD28" s="400">
        <f ca="1"/>
        <v>0</v>
      </c>
      <c r="AE28" s="400">
        <f ca="1"/>
        <v>0</v>
      </c>
      <c r="AF28" s="400">
        <f ca="1"/>
        <v>0</v>
      </c>
      <c r="AG28" s="400">
        <f ca="1"/>
        <v>0</v>
      </c>
      <c r="AH28" s="400">
        <f ca="1"/>
        <v>0</v>
      </c>
      <c r="AI28" s="400">
        <f ca="1"/>
        <v>0</v>
      </c>
      <c r="AJ28" s="400">
        <f ca="1"/>
        <v>0</v>
      </c>
      <c r="AK28" s="400">
        <f ca="1"/>
        <v>0</v>
      </c>
      <c r="AL28" s="400">
        <f ca="1"/>
        <v>0</v>
      </c>
      <c r="AM28" s="400">
        <f ca="1"/>
        <v>0</v>
      </c>
      <c r="AN28" s="400">
        <f ca="1"/>
        <v>0</v>
      </c>
      <c r="AO28" s="400">
        <f ca="1"/>
        <v>0</v>
      </c>
      <c r="AP28" s="400">
        <f ca="1"/>
        <v>0</v>
      </c>
      <c r="AQ28" s="400">
        <f ca="1"/>
        <v>0</v>
      </c>
    </row>
    <row r="29" spans="2:50">
      <c r="B29" s="396" t="str">
        <f t="shared" si="50"/>
        <v>Other notable pathways (please specify)</v>
      </c>
      <c r="C29" s="396">
        <f ca="1"/>
        <v>0</v>
      </c>
      <c r="D29" s="400">
        <f ca="1"/>
        <v>0</v>
      </c>
      <c r="E29" s="400">
        <f ca="1"/>
        <v>0</v>
      </c>
      <c r="F29" s="400">
        <f ca="1"/>
        <v>0</v>
      </c>
      <c r="G29" s="400">
        <f ca="1"/>
        <v>0</v>
      </c>
      <c r="H29" s="400">
        <f ca="1"/>
        <v>0</v>
      </c>
      <c r="I29" s="400">
        <f ca="1"/>
        <v>0</v>
      </c>
      <c r="J29" s="400">
        <f ca="1"/>
        <v>0</v>
      </c>
      <c r="K29" s="400">
        <f ca="1"/>
        <v>0</v>
      </c>
      <c r="L29" s="400">
        <f ca="1"/>
        <v>0</v>
      </c>
      <c r="M29" s="400">
        <f ca="1"/>
        <v>0</v>
      </c>
      <c r="N29" s="400">
        <f ca="1"/>
        <v>0</v>
      </c>
      <c r="O29" s="400">
        <f ca="1"/>
        <v>0</v>
      </c>
      <c r="P29" s="400">
        <f ca="1"/>
        <v>0</v>
      </c>
      <c r="Q29" s="400">
        <f ca="1"/>
        <v>0</v>
      </c>
      <c r="R29" s="400">
        <f ca="1"/>
        <v>0</v>
      </c>
      <c r="S29" s="400">
        <f ca="1"/>
        <v>0</v>
      </c>
      <c r="T29" s="400">
        <f ca="1"/>
        <v>0</v>
      </c>
      <c r="U29" s="400">
        <f ca="1"/>
        <v>0</v>
      </c>
      <c r="V29" s="400">
        <f ca="1"/>
        <v>0</v>
      </c>
      <c r="W29" s="400">
        <f ca="1"/>
        <v>0</v>
      </c>
      <c r="X29" s="400">
        <f ca="1"/>
        <v>0</v>
      </c>
      <c r="Y29" s="400">
        <f ca="1"/>
        <v>0</v>
      </c>
      <c r="Z29" s="400">
        <f ca="1"/>
        <v>0</v>
      </c>
      <c r="AA29" s="400">
        <f ca="1"/>
        <v>0</v>
      </c>
      <c r="AB29" s="400">
        <f ca="1"/>
        <v>0</v>
      </c>
      <c r="AC29" s="400">
        <f ca="1"/>
        <v>0</v>
      </c>
      <c r="AD29" s="400">
        <f ca="1"/>
        <v>0</v>
      </c>
      <c r="AE29" s="400">
        <f ca="1"/>
        <v>0</v>
      </c>
      <c r="AF29" s="400">
        <f ca="1"/>
        <v>0</v>
      </c>
      <c r="AG29" s="400">
        <f ca="1"/>
        <v>0</v>
      </c>
      <c r="AH29" s="400">
        <f ca="1"/>
        <v>0</v>
      </c>
      <c r="AI29" s="400">
        <f ca="1"/>
        <v>0</v>
      </c>
      <c r="AJ29" s="400">
        <f ca="1"/>
        <v>0</v>
      </c>
      <c r="AK29" s="400">
        <f ca="1"/>
        <v>0</v>
      </c>
      <c r="AL29" s="400">
        <f ca="1"/>
        <v>0</v>
      </c>
      <c r="AM29" s="400">
        <f ca="1"/>
        <v>0</v>
      </c>
      <c r="AN29" s="400">
        <f ca="1"/>
        <v>0</v>
      </c>
      <c r="AO29" s="400">
        <f ca="1"/>
        <v>0</v>
      </c>
      <c r="AP29" s="400">
        <f ca="1"/>
        <v>0</v>
      </c>
      <c r="AQ29" s="400">
        <f ca="1"/>
        <v>0</v>
      </c>
    </row>
    <row r="30" spans="2:50">
      <c r="B30" s="396" t="str">
        <f>$G$15</f>
        <v>Target: 0% Emissions Reduction from Baseline</v>
      </c>
      <c r="C30" s="396">
        <f ca="1"/>
        <v>1</v>
      </c>
      <c r="D30" s="400">
        <f ca="1"/>
        <v>1</v>
      </c>
      <c r="E30" s="400">
        <f ca="1"/>
        <v>1</v>
      </c>
      <c r="F30" s="400">
        <f ca="1"/>
        <v>1</v>
      </c>
      <c r="G30" s="400">
        <f ca="1"/>
        <v>1</v>
      </c>
      <c r="H30" s="400">
        <f ca="1"/>
        <v>1</v>
      </c>
      <c r="I30" s="400">
        <f ca="1"/>
        <v>1</v>
      </c>
      <c r="J30" s="400">
        <f ca="1"/>
        <v>1</v>
      </c>
      <c r="K30" s="400">
        <f ca="1"/>
        <v>1</v>
      </c>
      <c r="L30" s="400">
        <f ca="1"/>
        <v>1</v>
      </c>
      <c r="M30" s="400">
        <f ca="1"/>
        <v>1</v>
      </c>
      <c r="N30" s="400">
        <f ca="1"/>
        <v>1</v>
      </c>
      <c r="O30" s="400">
        <f ca="1"/>
        <v>1</v>
      </c>
      <c r="P30" s="400">
        <f ca="1"/>
        <v>1</v>
      </c>
      <c r="Q30" s="400">
        <f ca="1"/>
        <v>1</v>
      </c>
      <c r="R30" s="400">
        <f ca="1"/>
        <v>1</v>
      </c>
      <c r="S30" s="400">
        <f ca="1"/>
        <v>1</v>
      </c>
      <c r="T30" s="400">
        <f ca="1"/>
        <v>1</v>
      </c>
      <c r="U30" s="400">
        <f ca="1"/>
        <v>1</v>
      </c>
      <c r="V30" s="400">
        <f ca="1"/>
        <v>1</v>
      </c>
      <c r="W30" s="400">
        <f ca="1"/>
        <v>1</v>
      </c>
      <c r="X30" s="400">
        <f ca="1"/>
        <v>1</v>
      </c>
      <c r="Y30" s="400">
        <f ca="1"/>
        <v>1</v>
      </c>
      <c r="Z30" s="400">
        <f ca="1"/>
        <v>1</v>
      </c>
      <c r="AA30" s="400">
        <f ca="1"/>
        <v>1</v>
      </c>
      <c r="AB30" s="400">
        <f ca="1"/>
        <v>1</v>
      </c>
      <c r="AC30" s="400">
        <f ca="1"/>
        <v>1</v>
      </c>
      <c r="AD30" s="400">
        <f ca="1"/>
        <v>1</v>
      </c>
      <c r="AE30" s="400">
        <f ca="1"/>
        <v>1</v>
      </c>
      <c r="AF30" s="400">
        <f ca="1"/>
        <v>1</v>
      </c>
      <c r="AG30" s="400">
        <f ca="1"/>
        <v>1</v>
      </c>
      <c r="AH30" s="400">
        <f ca="1"/>
        <v>1</v>
      </c>
      <c r="AI30" s="400">
        <f ca="1"/>
        <v>1</v>
      </c>
      <c r="AJ30" s="400">
        <f ca="1"/>
        <v>1</v>
      </c>
      <c r="AK30" s="400">
        <f ca="1"/>
        <v>1</v>
      </c>
      <c r="AL30" s="400">
        <f ca="1"/>
        <v>1</v>
      </c>
      <c r="AM30" s="400">
        <f ca="1"/>
        <v>1</v>
      </c>
      <c r="AN30" s="400">
        <f ca="1"/>
        <v>1</v>
      </c>
      <c r="AO30" s="400">
        <f ca="1"/>
        <v>1</v>
      </c>
      <c r="AP30" s="400">
        <f ca="1"/>
        <v>0</v>
      </c>
      <c r="AQ30" s="400">
        <f ca="1"/>
        <v>0</v>
      </c>
    </row>
    <row r="35" spans="3:41">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row>
    <row r="36" spans="3:41">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row>
    <row r="37" spans="3:41">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row>
    <row r="38" spans="3:41">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row>
    <row r="39" spans="3:41">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row>
    <row r="40" spans="3:41">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row>
    <row r="41" spans="3:41">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row>
    <row r="42" spans="3:41">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C4B5-9A1E-49A2-986F-965AD0EF0023}">
  <sheetPr codeName="Sheet11">
    <tabColor rgb="FFFFC000"/>
  </sheetPr>
  <dimension ref="A1:G69"/>
  <sheetViews>
    <sheetView showGridLines="0" topLeftCell="C2" zoomScale="70" zoomScaleNormal="70" workbookViewId="0">
      <selection activeCell="D14" sqref="D14"/>
    </sheetView>
  </sheetViews>
  <sheetFormatPr defaultColWidth="8.77734375" defaultRowHeight="15"/>
  <cols>
    <col min="1" max="1" width="3.44140625" style="91" customWidth="1"/>
    <col min="2" max="2" width="48.21875" style="91" customWidth="1"/>
    <col min="3" max="3" width="66.77734375" style="91" bestFit="1" customWidth="1"/>
    <col min="4" max="4" width="226.21875" style="91" customWidth="1"/>
    <col min="5" max="5" width="6.33203125" style="125" customWidth="1"/>
    <col min="6" max="6" width="12" style="91" customWidth="1"/>
    <col min="7" max="16384" width="8.77734375" style="91"/>
  </cols>
  <sheetData>
    <row r="1" spans="1:6" ht="90">
      <c r="A1" s="443"/>
      <c r="B1" s="1076" t="s">
        <v>638</v>
      </c>
      <c r="C1" s="1077"/>
      <c r="D1" s="1077"/>
      <c r="E1" s="1077"/>
      <c r="F1" s="1077"/>
    </row>
    <row r="2" spans="1:6" ht="15.6" thickBot="1">
      <c r="A2" s="444"/>
      <c r="B2" s="10"/>
      <c r="C2" s="10"/>
      <c r="D2" s="10"/>
      <c r="E2" s="18"/>
      <c r="F2" s="10"/>
    </row>
    <row r="3" spans="1:6" ht="127.5" customHeight="1" thickBot="1">
      <c r="A3" s="445"/>
      <c r="B3" s="1078" t="s">
        <v>818</v>
      </c>
      <c r="C3" s="1079"/>
      <c r="D3" s="1079"/>
      <c r="E3" s="1079"/>
      <c r="F3" s="1080"/>
    </row>
    <row r="4" spans="1:6" ht="15.6" thickBot="1">
      <c r="B4" s="10"/>
      <c r="C4" s="10"/>
      <c r="D4" s="10"/>
      <c r="E4" s="18"/>
      <c r="F4" s="10"/>
    </row>
    <row r="5" spans="1:6" ht="58.5" customHeight="1" thickBot="1">
      <c r="B5" s="356" t="s">
        <v>639</v>
      </c>
      <c r="C5" s="357" t="s">
        <v>640</v>
      </c>
      <c r="D5" s="357" t="s">
        <v>641</v>
      </c>
      <c r="E5" s="353" t="s">
        <v>642</v>
      </c>
      <c r="F5" s="353" t="s">
        <v>892</v>
      </c>
    </row>
    <row r="6" spans="1:6" ht="28.8" thickBot="1">
      <c r="B6" s="1081" t="s">
        <v>8</v>
      </c>
      <c r="C6" s="1082"/>
      <c r="D6" s="1082"/>
      <c r="E6" s="1082"/>
      <c r="F6" s="1083"/>
    </row>
    <row r="7" spans="1:6" ht="46.05" customHeight="1">
      <c r="B7" s="1059" t="s">
        <v>829</v>
      </c>
      <c r="C7" s="464" t="s">
        <v>830</v>
      </c>
      <c r="D7" s="484" t="s">
        <v>831</v>
      </c>
      <c r="E7" s="481" t="e" vm="1">
        <v>#VALUE!</v>
      </c>
      <c r="F7" s="485" t="e" vm="2">
        <v>#VALUE!</v>
      </c>
    </row>
    <row r="8" spans="1:6" ht="46.05" customHeight="1">
      <c r="B8" s="1059"/>
      <c r="C8" s="362" t="s">
        <v>1183</v>
      </c>
      <c r="D8" s="345" t="s">
        <v>1184</v>
      </c>
      <c r="E8" s="396"/>
      <c r="F8" s="473" t="e" vm="2">
        <v>#VALUE!</v>
      </c>
    </row>
    <row r="9" spans="1:6" ht="46.05" customHeight="1">
      <c r="B9" s="1060" t="s">
        <v>646</v>
      </c>
      <c r="C9" s="362" t="s">
        <v>647</v>
      </c>
      <c r="D9" s="440" t="s">
        <v>643</v>
      </c>
      <c r="E9" s="467" t="e" vm="1">
        <v>#VALUE!</v>
      </c>
      <c r="F9" s="473" t="e" vm="2">
        <v>#VALUE!</v>
      </c>
    </row>
    <row r="10" spans="1:6" ht="46.05" customHeight="1">
      <c r="B10" s="1059"/>
      <c r="C10" s="363" t="s">
        <v>648</v>
      </c>
      <c r="D10" s="345" t="s">
        <v>644</v>
      </c>
      <c r="E10" s="468" t="e" vm="1">
        <v>#VALUE!</v>
      </c>
      <c r="F10" s="473" t="e" vm="2">
        <v>#VALUE!</v>
      </c>
    </row>
    <row r="11" spans="1:6" ht="46.05" customHeight="1">
      <c r="B11" s="1059"/>
      <c r="C11" s="364" t="s">
        <v>649</v>
      </c>
      <c r="D11" s="345" t="s">
        <v>719</v>
      </c>
      <c r="E11" s="468" t="e" vm="1">
        <v>#VALUE!</v>
      </c>
      <c r="F11" s="473" t="e" vm="2">
        <v>#VALUE!</v>
      </c>
    </row>
    <row r="12" spans="1:6" ht="46.05" customHeight="1">
      <c r="B12" s="1059"/>
      <c r="C12" s="364" t="s">
        <v>650</v>
      </c>
      <c r="D12" s="345" t="s">
        <v>720</v>
      </c>
      <c r="E12" s="468" t="e" vm="1">
        <v>#VALUE!</v>
      </c>
      <c r="F12" s="473" t="e" vm="2">
        <v>#VALUE!</v>
      </c>
    </row>
    <row r="13" spans="1:6" ht="46.05" customHeight="1">
      <c r="B13" s="1059"/>
      <c r="C13" s="359" t="s">
        <v>651</v>
      </c>
      <c r="D13" s="345" t="s">
        <v>721</v>
      </c>
      <c r="E13" s="467" t="e" vm="1">
        <v>#VALUE!</v>
      </c>
      <c r="F13" s="473" t="e" vm="2">
        <v>#VALUE!</v>
      </c>
    </row>
    <row r="14" spans="1:6" ht="46.05" customHeight="1">
      <c r="B14" s="1061"/>
      <c r="C14" s="365" t="s">
        <v>652</v>
      </c>
      <c r="D14" s="440" t="s">
        <v>645</v>
      </c>
      <c r="E14" s="396"/>
      <c r="F14" s="473" t="e" vm="2">
        <v>#VALUE!</v>
      </c>
    </row>
    <row r="15" spans="1:6" ht="46.05" customHeight="1">
      <c r="B15" s="1063" t="s">
        <v>653</v>
      </c>
      <c r="C15" s="358" t="s">
        <v>654</v>
      </c>
      <c r="D15" s="345" t="s">
        <v>657</v>
      </c>
      <c r="E15" s="468" t="e" vm="1">
        <v>#VALUE!</v>
      </c>
      <c r="F15" s="473" t="e" vm="2">
        <v>#VALUE!</v>
      </c>
    </row>
    <row r="16" spans="1:6" ht="46.05" customHeight="1">
      <c r="B16" s="1058"/>
      <c r="C16" s="361" t="s">
        <v>655</v>
      </c>
      <c r="D16" s="345" t="s">
        <v>658</v>
      </c>
      <c r="E16" s="396"/>
      <c r="F16" s="473" t="e" vm="2">
        <v>#VALUE!</v>
      </c>
    </row>
    <row r="17" spans="2:7" ht="46.05" customHeight="1">
      <c r="B17" s="1058"/>
      <c r="C17" s="392" t="s">
        <v>656</v>
      </c>
      <c r="D17" s="469" t="s">
        <v>659</v>
      </c>
      <c r="E17" s="470" t="e" vm="1">
        <v>#VALUE!</v>
      </c>
      <c r="F17" s="473" t="e" vm="2">
        <v>#VALUE!</v>
      </c>
    </row>
    <row r="18" spans="2:7" ht="46.05" customHeight="1" thickBot="1">
      <c r="B18" s="1064"/>
      <c r="C18" s="393" t="s">
        <v>895</v>
      </c>
      <c r="D18" s="471" t="s">
        <v>660</v>
      </c>
      <c r="E18" s="472" t="e" vm="1">
        <v>#VALUE!</v>
      </c>
      <c r="F18" s="486" t="e" vm="2">
        <v>#VALUE!</v>
      </c>
    </row>
    <row r="19" spans="2:7" ht="28.8" thickBot="1">
      <c r="B19" s="1084" t="s">
        <v>43</v>
      </c>
      <c r="C19" s="1085"/>
      <c r="D19" s="1085"/>
      <c r="E19" s="1085"/>
      <c r="F19" s="1086"/>
    </row>
    <row r="20" spans="2:7" ht="47.55" customHeight="1">
      <c r="B20" s="482" t="s">
        <v>894</v>
      </c>
      <c r="C20" s="361" t="s">
        <v>661</v>
      </c>
      <c r="D20" s="351" t="s">
        <v>662</v>
      </c>
      <c r="E20" s="483"/>
      <c r="F20" s="487" t="e" vm="2">
        <v>#VALUE!</v>
      </c>
    </row>
    <row r="21" spans="2:7" ht="47.55" customHeight="1">
      <c r="B21" s="815" t="s">
        <v>663</v>
      </c>
      <c r="C21" s="358" t="s">
        <v>667</v>
      </c>
      <c r="D21" s="345" t="s">
        <v>664</v>
      </c>
      <c r="E21" s="467" t="e" vm="1">
        <v>#VALUE!</v>
      </c>
      <c r="F21" s="489" t="e" vm="2">
        <v>#VALUE!</v>
      </c>
    </row>
    <row r="22" spans="2:7" ht="47.55" customHeight="1">
      <c r="B22" s="815"/>
      <c r="C22" s="360" t="s">
        <v>668</v>
      </c>
      <c r="D22" s="345" t="s">
        <v>665</v>
      </c>
      <c r="E22" s="467" t="e" vm="1">
        <v>#VALUE!</v>
      </c>
      <c r="F22" s="489" t="e" vm="2">
        <v>#VALUE!</v>
      </c>
      <c r="G22" s="125"/>
    </row>
    <row r="23" spans="2:7" ht="47.55" customHeight="1" thickBot="1">
      <c r="B23" s="463" t="s">
        <v>666</v>
      </c>
      <c r="C23" s="360" t="s">
        <v>669</v>
      </c>
      <c r="D23" s="462" t="s">
        <v>670</v>
      </c>
      <c r="E23" s="480"/>
      <c r="F23" s="490" t="e" vm="2">
        <v>#VALUE!</v>
      </c>
    </row>
    <row r="24" spans="2:7" ht="28.8" thickBot="1">
      <c r="B24" s="1067" t="s">
        <v>64</v>
      </c>
      <c r="C24" s="1068"/>
      <c r="D24" s="1068"/>
      <c r="E24" s="1068"/>
      <c r="F24" s="1069"/>
    </row>
    <row r="25" spans="2:7" s="139" customFormat="1" ht="46.95" customHeight="1">
      <c r="B25" s="1065" t="s">
        <v>686</v>
      </c>
      <c r="C25" s="361" t="s">
        <v>671</v>
      </c>
      <c r="D25" s="351" t="s">
        <v>683</v>
      </c>
      <c r="E25" s="488"/>
      <c r="F25" s="487" t="e" vm="2">
        <v>#VALUE!</v>
      </c>
    </row>
    <row r="26" spans="2:7" s="139" customFormat="1" ht="46.95" customHeight="1">
      <c r="B26" s="1065"/>
      <c r="C26" s="358" t="s">
        <v>672</v>
      </c>
      <c r="D26" s="345" t="s">
        <v>682</v>
      </c>
      <c r="E26" s="435"/>
      <c r="F26" s="489" t="e" vm="2">
        <v>#VALUE!</v>
      </c>
    </row>
    <row r="27" spans="2:7" s="139" customFormat="1" ht="46.95" customHeight="1">
      <c r="B27" s="1065"/>
      <c r="C27" s="358" t="s">
        <v>673</v>
      </c>
      <c r="D27" s="345" t="s">
        <v>684</v>
      </c>
      <c r="E27" s="467" t="e" vm="1">
        <v>#VALUE!</v>
      </c>
      <c r="F27" s="489" t="e" vm="2">
        <v>#VALUE!</v>
      </c>
    </row>
    <row r="28" spans="2:7" s="139" customFormat="1" ht="46.95" customHeight="1">
      <c r="B28" s="1065"/>
      <c r="C28" s="358" t="s">
        <v>674</v>
      </c>
      <c r="D28" s="345" t="s">
        <v>685</v>
      </c>
      <c r="E28" s="435"/>
      <c r="F28" s="489" t="e" vm="2">
        <v>#VALUE!</v>
      </c>
    </row>
    <row r="29" spans="2:7" s="139" customFormat="1" ht="46.95" customHeight="1">
      <c r="B29" s="1065"/>
      <c r="C29" s="358" t="s">
        <v>675</v>
      </c>
      <c r="D29" s="345" t="s">
        <v>688</v>
      </c>
      <c r="E29" s="465" t="e" vm="1">
        <v>#VALUE!</v>
      </c>
      <c r="F29" s="489" t="e" vm="2">
        <v>#VALUE!</v>
      </c>
    </row>
    <row r="30" spans="2:7" s="139" customFormat="1" ht="46.95" customHeight="1">
      <c r="B30" s="1065"/>
      <c r="C30" s="492" t="s">
        <v>676</v>
      </c>
      <c r="D30" s="345" t="s">
        <v>898</v>
      </c>
      <c r="E30" s="435"/>
      <c r="F30" s="489" t="e" vm="2">
        <v>#VALUE!</v>
      </c>
    </row>
    <row r="31" spans="2:7" s="139" customFormat="1" ht="46.95" customHeight="1">
      <c r="B31" s="1065"/>
      <c r="C31" s="358" t="s">
        <v>677</v>
      </c>
      <c r="D31" s="345" t="s">
        <v>687</v>
      </c>
      <c r="E31" s="465" t="e" vm="1">
        <v>#VALUE!</v>
      </c>
      <c r="F31" s="491" t="e" vm="2">
        <v>#VALUE!</v>
      </c>
    </row>
    <row r="32" spans="2:7" s="139" customFormat="1" ht="46.95" customHeight="1">
      <c r="B32" s="1065"/>
      <c r="C32" s="358" t="s">
        <v>1180</v>
      </c>
      <c r="D32" s="345" t="s">
        <v>1181</v>
      </c>
      <c r="E32" s="435"/>
      <c r="F32" s="489" t="e" vm="2">
        <v>#VALUE!</v>
      </c>
    </row>
    <row r="33" spans="2:7" s="139" customFormat="1" ht="46.95" customHeight="1">
      <c r="B33" s="1065"/>
      <c r="C33" s="358" t="s">
        <v>678</v>
      </c>
      <c r="D33" s="345" t="s">
        <v>690</v>
      </c>
      <c r="E33" s="465" t="e" vm="1">
        <v>#VALUE!</v>
      </c>
      <c r="F33" s="489" t="e" vm="2">
        <v>#VALUE!</v>
      </c>
    </row>
    <row r="34" spans="2:7" s="139" customFormat="1" ht="46.95" customHeight="1">
      <c r="B34" s="1065"/>
      <c r="C34" s="358" t="s">
        <v>679</v>
      </c>
      <c r="D34" s="345" t="s">
        <v>689</v>
      </c>
      <c r="E34" s="465" t="e" vm="1">
        <v>#VALUE!</v>
      </c>
      <c r="F34" s="489" t="e" vm="2">
        <v>#VALUE!</v>
      </c>
    </row>
    <row r="35" spans="2:7" s="139" customFormat="1" ht="46.95" customHeight="1">
      <c r="B35" s="1065"/>
      <c r="C35" s="358" t="s">
        <v>680</v>
      </c>
      <c r="D35" s="345" t="s">
        <v>670</v>
      </c>
      <c r="E35" s="435"/>
      <c r="F35" s="490" t="e" vm="2">
        <v>#VALUE!</v>
      </c>
    </row>
    <row r="36" spans="2:7" s="139" customFormat="1" ht="46.95" customHeight="1">
      <c r="B36" s="1066"/>
      <c r="C36" s="358" t="s">
        <v>681</v>
      </c>
      <c r="D36" s="345" t="s">
        <v>700</v>
      </c>
      <c r="E36" s="435"/>
      <c r="F36" s="489" t="e" vm="2">
        <v>#VALUE!</v>
      </c>
    </row>
    <row r="37" spans="2:7" ht="46.95" customHeight="1">
      <c r="B37" s="1062" t="s">
        <v>697</v>
      </c>
      <c r="C37" s="358" t="s">
        <v>691</v>
      </c>
      <c r="D37" s="345" t="s">
        <v>699</v>
      </c>
      <c r="E37" s="396"/>
      <c r="F37" s="489" t="e" vm="2">
        <v>#VALUE!</v>
      </c>
      <c r="G37" s="352"/>
    </row>
    <row r="38" spans="2:7" ht="46.95" customHeight="1">
      <c r="B38" s="1062"/>
      <c r="C38" s="358" t="s">
        <v>846</v>
      </c>
      <c r="D38" s="345" t="s">
        <v>847</v>
      </c>
      <c r="E38" s="396"/>
      <c r="F38" s="489" t="e" vm="2">
        <v>#VALUE!</v>
      </c>
      <c r="G38" s="352"/>
    </row>
    <row r="39" spans="2:7" ht="46.95" customHeight="1">
      <c r="B39" s="1062"/>
      <c r="C39" s="358" t="s">
        <v>692</v>
      </c>
      <c r="D39" s="345" t="s">
        <v>698</v>
      </c>
      <c r="E39" s="396"/>
      <c r="F39" s="489" t="e" vm="2">
        <v>#VALUE!</v>
      </c>
    </row>
    <row r="40" spans="2:7" ht="46.95" customHeight="1">
      <c r="B40" s="1062"/>
      <c r="C40" s="358" t="s">
        <v>694</v>
      </c>
      <c r="D40" s="345" t="s">
        <v>701</v>
      </c>
      <c r="E40" s="396"/>
      <c r="F40" s="489" t="e" vm="2">
        <v>#VALUE!</v>
      </c>
    </row>
    <row r="41" spans="2:7" ht="46.95" customHeight="1">
      <c r="B41" s="1062"/>
      <c r="C41" s="358" t="s">
        <v>695</v>
      </c>
      <c r="D41" s="345" t="s">
        <v>702</v>
      </c>
      <c r="E41" s="465" t="e" vm="1">
        <v>#VALUE!</v>
      </c>
      <c r="F41" s="489" t="e" vm="2">
        <v>#VALUE!</v>
      </c>
    </row>
    <row r="42" spans="2:7" ht="46.95" customHeight="1">
      <c r="B42" s="1062"/>
      <c r="C42" s="358" t="s">
        <v>693</v>
      </c>
      <c r="D42" s="474" t="s">
        <v>703</v>
      </c>
      <c r="E42" s="396"/>
      <c r="F42" s="489" t="e" vm="2">
        <v>#VALUE!</v>
      </c>
    </row>
    <row r="43" spans="2:7" ht="46.95" customHeight="1" thickBot="1">
      <c r="B43" s="1060"/>
      <c r="C43" s="360" t="s">
        <v>696</v>
      </c>
      <c r="D43" s="347" t="s">
        <v>704</v>
      </c>
      <c r="E43" s="480"/>
      <c r="F43" s="477" t="e" vm="2">
        <v>#VALUE!</v>
      </c>
    </row>
    <row r="44" spans="2:7" ht="28.8" thickBot="1">
      <c r="B44" s="1070" t="s">
        <v>705</v>
      </c>
      <c r="C44" s="1071"/>
      <c r="D44" s="1071"/>
      <c r="E44" s="1071"/>
      <c r="F44" s="1072"/>
    </row>
    <row r="45" spans="2:7" ht="46.5" customHeight="1">
      <c r="B45" s="1061" t="s">
        <v>706</v>
      </c>
      <c r="C45" s="361" t="s">
        <v>707</v>
      </c>
      <c r="D45" s="351" t="s">
        <v>710</v>
      </c>
      <c r="E45" s="481" t="e" vm="1">
        <v>#VALUE!</v>
      </c>
      <c r="F45" s="479" t="e" vm="2">
        <v>#VALUE!</v>
      </c>
    </row>
    <row r="46" spans="2:7" ht="46.5" customHeight="1">
      <c r="B46" s="1062"/>
      <c r="C46" s="358" t="s">
        <v>708</v>
      </c>
      <c r="D46" s="345" t="s">
        <v>711</v>
      </c>
      <c r="E46" s="465" t="e" vm="1">
        <v>#VALUE!</v>
      </c>
      <c r="F46" s="466" t="e" vm="2">
        <v>#VALUE!</v>
      </c>
    </row>
    <row r="47" spans="2:7" ht="46.5" customHeight="1">
      <c r="B47" s="1062"/>
      <c r="C47" s="358" t="s">
        <v>709</v>
      </c>
      <c r="D47" s="345" t="s">
        <v>712</v>
      </c>
      <c r="E47" s="475"/>
      <c r="F47" s="466" t="e" vm="2">
        <v>#VALUE!</v>
      </c>
    </row>
    <row r="48" spans="2:7" ht="46.5" customHeight="1">
      <c r="B48" s="1059" t="s">
        <v>819</v>
      </c>
      <c r="C48" s="358" t="s">
        <v>832</v>
      </c>
      <c r="D48" s="345" t="s">
        <v>833</v>
      </c>
      <c r="E48" s="475"/>
      <c r="F48" s="466" t="e" vm="2">
        <v>#VALUE!</v>
      </c>
    </row>
    <row r="49" spans="2:6" ht="46.5" customHeight="1">
      <c r="B49" s="1059"/>
      <c r="C49" s="358" t="s">
        <v>854</v>
      </c>
      <c r="D49" s="345" t="s">
        <v>855</v>
      </c>
      <c r="E49" s="465" t="e" vm="1">
        <v>#VALUE!</v>
      </c>
      <c r="F49" s="466" t="e" vm="2">
        <v>#VALUE!</v>
      </c>
    </row>
    <row r="50" spans="2:6" ht="46.5" customHeight="1">
      <c r="B50" s="1059"/>
      <c r="C50" s="358" t="s">
        <v>834</v>
      </c>
      <c r="D50" s="345" t="s">
        <v>835</v>
      </c>
      <c r="E50" s="475"/>
      <c r="F50" s="466" t="e" vm="2">
        <v>#VALUE!</v>
      </c>
    </row>
    <row r="51" spans="2:6" ht="46.5" customHeight="1">
      <c r="B51" s="1059"/>
      <c r="C51" s="358" t="s">
        <v>836</v>
      </c>
      <c r="D51" s="345" t="s">
        <v>839</v>
      </c>
      <c r="E51" s="465" t="e" vm="1">
        <v>#VALUE!</v>
      </c>
      <c r="F51" s="466" t="e" vm="2">
        <v>#VALUE!</v>
      </c>
    </row>
    <row r="52" spans="2:6" ht="46.5" customHeight="1" thickBot="1">
      <c r="B52" s="1059"/>
      <c r="C52" s="360" t="s">
        <v>837</v>
      </c>
      <c r="D52" s="347" t="s">
        <v>838</v>
      </c>
      <c r="E52" s="476"/>
      <c r="F52" s="490" t="e" vm="2">
        <v>#VALUE!</v>
      </c>
    </row>
    <row r="53" spans="2:6" ht="28.8" thickBot="1">
      <c r="B53" s="1073" t="s">
        <v>820</v>
      </c>
      <c r="C53" s="1074"/>
      <c r="D53" s="1074"/>
      <c r="E53" s="1074"/>
      <c r="F53" s="1075"/>
    </row>
    <row r="54" spans="2:6" ht="46.95" customHeight="1">
      <c r="B54" s="1058" t="s">
        <v>821</v>
      </c>
      <c r="C54" s="361" t="s">
        <v>897</v>
      </c>
      <c r="D54" s="351" t="s">
        <v>848</v>
      </c>
      <c r="E54" s="478"/>
      <c r="F54" s="487" t="e" vm="2">
        <v>#VALUE!</v>
      </c>
    </row>
    <row r="55" spans="2:6" ht="46.95" customHeight="1">
      <c r="B55" s="1059"/>
      <c r="C55" s="358" t="s">
        <v>850</v>
      </c>
      <c r="D55" s="345" t="s">
        <v>849</v>
      </c>
      <c r="E55" s="475"/>
      <c r="F55" s="489" t="e" vm="2">
        <v>#VALUE!</v>
      </c>
    </row>
    <row r="56" spans="2:6" ht="46.95" customHeight="1">
      <c r="B56" s="1059"/>
      <c r="C56" s="358" t="s">
        <v>851</v>
      </c>
      <c r="D56" s="345" t="s">
        <v>852</v>
      </c>
      <c r="E56" s="475"/>
      <c r="F56" s="489" t="e" vm="2">
        <v>#VALUE!</v>
      </c>
    </row>
    <row r="57" spans="2:6" ht="46.95" customHeight="1">
      <c r="B57" s="1059"/>
      <c r="C57" s="358" t="s">
        <v>869</v>
      </c>
      <c r="D57" s="345" t="s">
        <v>853</v>
      </c>
      <c r="E57" s="475"/>
      <c r="F57" s="489" t="e" vm="2">
        <v>#VALUE!</v>
      </c>
    </row>
    <row r="58" spans="2:6" ht="46.95" customHeight="1">
      <c r="B58" s="1059"/>
      <c r="C58" s="358" t="s">
        <v>870</v>
      </c>
      <c r="D58" s="345" t="s">
        <v>855</v>
      </c>
      <c r="E58" s="465" t="e" vm="1">
        <v>#VALUE!</v>
      </c>
      <c r="F58" s="489" t="e" vm="2">
        <v>#VALUE!</v>
      </c>
    </row>
    <row r="59" spans="2:6" ht="46.95" customHeight="1">
      <c r="B59" s="1059"/>
      <c r="C59" s="358" t="s">
        <v>856</v>
      </c>
      <c r="D59" s="345" t="s">
        <v>857</v>
      </c>
      <c r="E59" s="475"/>
      <c r="F59" s="489" t="e" vm="2">
        <v>#VALUE!</v>
      </c>
    </row>
    <row r="60" spans="2:6" ht="46.95" customHeight="1">
      <c r="B60" s="1059"/>
      <c r="C60" s="358" t="s">
        <v>858</v>
      </c>
      <c r="D60" s="345" t="s">
        <v>859</v>
      </c>
      <c r="E60" s="475"/>
      <c r="F60" s="491" t="e" vm="2">
        <v>#VALUE!</v>
      </c>
    </row>
    <row r="61" spans="2:6" ht="46.95" customHeight="1">
      <c r="B61" s="1059"/>
      <c r="C61" s="358" t="s">
        <v>860</v>
      </c>
      <c r="D61" s="345" t="s">
        <v>861</v>
      </c>
      <c r="E61" s="467" t="e" vm="1">
        <v>#VALUE!</v>
      </c>
      <c r="F61" s="489" t="e" vm="2">
        <v>#VALUE!</v>
      </c>
    </row>
    <row r="62" spans="2:6" ht="46.95" customHeight="1">
      <c r="B62" s="1059"/>
      <c r="C62" s="358" t="s">
        <v>862</v>
      </c>
      <c r="D62" s="345" t="s">
        <v>863</v>
      </c>
      <c r="E62" s="467" t="e" vm="1">
        <v>#VALUE!</v>
      </c>
      <c r="F62" s="489" t="e" vm="2">
        <v>#VALUE!</v>
      </c>
    </row>
    <row r="63" spans="2:6" ht="46.95" customHeight="1">
      <c r="B63" s="1059"/>
      <c r="C63" s="358" t="s">
        <v>864</v>
      </c>
      <c r="D63" s="345" t="s">
        <v>865</v>
      </c>
      <c r="E63" s="475"/>
      <c r="F63" s="489" t="e" vm="2">
        <v>#VALUE!</v>
      </c>
    </row>
    <row r="64" spans="2:6" ht="46.95" customHeight="1">
      <c r="B64" s="1059"/>
      <c r="C64" s="358" t="s">
        <v>866</v>
      </c>
      <c r="D64" s="345" t="s">
        <v>867</v>
      </c>
      <c r="E64" s="475"/>
      <c r="F64" s="489" t="e" vm="2">
        <v>#VALUE!</v>
      </c>
    </row>
    <row r="65" spans="2:6" ht="46.95" customHeight="1">
      <c r="B65" s="1059"/>
      <c r="C65" s="358" t="s">
        <v>868</v>
      </c>
      <c r="D65" s="345" t="s">
        <v>893</v>
      </c>
      <c r="E65" s="475"/>
      <c r="F65" s="489" t="e" vm="2">
        <v>#VALUE!</v>
      </c>
    </row>
    <row r="66" spans="2:6" ht="46.95" customHeight="1">
      <c r="B66" s="1060" t="s">
        <v>759</v>
      </c>
      <c r="C66" s="358" t="s">
        <v>843</v>
      </c>
      <c r="D66" s="345" t="s">
        <v>844</v>
      </c>
      <c r="E66" s="475"/>
      <c r="F66" s="489" t="e" vm="2">
        <v>#VALUE!</v>
      </c>
    </row>
    <row r="67" spans="2:6" ht="46.95" customHeight="1">
      <c r="B67" s="1058"/>
      <c r="C67" s="358" t="s">
        <v>842</v>
      </c>
      <c r="D67" s="345" t="s">
        <v>1182</v>
      </c>
      <c r="E67" s="465" t="e" vm="1">
        <v>#VALUE!</v>
      </c>
      <c r="F67" s="489" t="e" vm="2">
        <v>#VALUE!</v>
      </c>
    </row>
    <row r="68" spans="2:6" ht="46.95" customHeight="1">
      <c r="B68" s="1061"/>
      <c r="C68" s="358" t="s">
        <v>896</v>
      </c>
      <c r="D68" s="345" t="s">
        <v>845</v>
      </c>
      <c r="E68" s="465" t="e" vm="1">
        <v>#VALUE!</v>
      </c>
      <c r="F68" s="489" t="e" vm="2">
        <v>#VALUE!</v>
      </c>
    </row>
    <row r="69" spans="2:6" ht="46.95" customHeight="1" thickBot="1">
      <c r="B69" s="455" t="s">
        <v>822</v>
      </c>
      <c r="C69" s="358" t="s">
        <v>841</v>
      </c>
      <c r="D69" s="345" t="s">
        <v>840</v>
      </c>
      <c r="E69" s="475"/>
      <c r="F69" s="489" t="e" vm="2">
        <v>#VALUE!</v>
      </c>
    </row>
  </sheetData>
  <mergeCells count="17">
    <mergeCell ref="B7:B8"/>
    <mergeCell ref="B1:F1"/>
    <mergeCell ref="B3:F3"/>
    <mergeCell ref="B6:F6"/>
    <mergeCell ref="B19:F19"/>
    <mergeCell ref="B54:B65"/>
    <mergeCell ref="B48:B52"/>
    <mergeCell ref="B66:B68"/>
    <mergeCell ref="B45:B47"/>
    <mergeCell ref="B9:B14"/>
    <mergeCell ref="B15:B18"/>
    <mergeCell ref="B21:B22"/>
    <mergeCell ref="B25:B36"/>
    <mergeCell ref="B37:B43"/>
    <mergeCell ref="B24:F24"/>
    <mergeCell ref="B44:F44"/>
    <mergeCell ref="B53:F53"/>
  </mergeCells>
  <phoneticPr fontId="5" type="noConversion"/>
  <hyperlinks>
    <hyperlink ref="C10" r:id="rId1" display="Direct Emissions from Stationary Combustion Sources " xr:uid="{1DBA5CB5-ADF4-43E0-9C32-40C2156E105A}"/>
    <hyperlink ref="C11" r:id="rId2" display="Direct Emissions from Mobile Combustion Source" xr:uid="{51006C4A-93A5-4AEB-A0CA-F6A446711D46}"/>
    <hyperlink ref="C12" r:id="rId3" display="Direct Fugitive Emissions from Refrigeration, Air Conditioning, Fire Suppression, and Industrial Gases  " xr:uid="{D5F2E554-E2FE-45C6-B9D2-98C25B883041}"/>
    <hyperlink ref="C13" r:id="rId4" display="https://www.epa.gov/sites/default/files/2020-12/documents/electricityemissions.pdf" xr:uid="{426E1CA0-D8AB-4921-B462-F40903470C51}"/>
    <hyperlink ref="E10" r:id="rId5" display="https://www.epa.gov/sites/default/files/2020-12/documents/stationaryemissions.pdf" xr:uid="{8A50D6D3-71BD-42E9-B691-21BFF052298C}"/>
    <hyperlink ref="E12" r:id="rId6" display="https://www.epa.gov/sites/default/files/2020-12/documents/fugitiveemissions.pdf" xr:uid="{60B5DC2C-26E2-489F-AB7A-A358512C45CD}"/>
    <hyperlink ref="E11" r:id="rId7" display="https://www.epa.gov/sites/default/files/2020-12/documents/mobileemissions.pdf" xr:uid="{A6DF868C-6C37-4AE0-A820-22114E8CF231}"/>
    <hyperlink ref="C9" r:id="rId8" display="https://ghgprotocol.org/corporate-standard" xr:uid="{199343A3-4FB9-407E-8314-8E5EB5DB419E}"/>
    <hyperlink ref="C14" r:id="rId9" display="GRI 305: Emissions 2016" xr:uid="{FD0972FA-1C02-4C85-9463-FB5496EC7043}"/>
    <hyperlink ref="C16" r:id="rId10" display="Climate Group RE100" xr:uid="{54D7DFF5-F8C0-4208-8D8D-0E2CF95B3551}"/>
    <hyperlink ref="C15" r:id="rId11" display="SBTi Corporate Net Zero Standard" xr:uid="{F4A8B7AE-A936-4118-90D7-6FC660397306}"/>
    <hyperlink ref="C17" r:id="rId12" display="Energy Intensity Baselining and Tracking Guidance " xr:uid="{CD83DA63-F757-4F97-B23D-8E17A096519D}"/>
    <hyperlink ref="C18" r:id="rId13" display="Engaging supply chain s on decarbonization journey " xr:uid="{FE33A709-EB4E-4840-95C2-9749705DAA98}"/>
    <hyperlink ref="E15" r:id="rId14" display="https://sciencebasedtargets.org/resources/files/Net-Zero-Standard-Criteria.pdf" xr:uid="{6C5BBFF4-4521-4EDC-9DC9-1A30BA5ADA57}"/>
    <hyperlink ref="E17" r:id="rId15" display="https://betterbuildingssolutioncenter.energy.gov/sites/default/files/attachments/Energy Intensity Baselining and Tracking Guidance 2020.pdf" xr:uid="{6A95BBA4-016B-4FE0-9805-A1C16DE22FDE}"/>
    <hyperlink ref="E18" r:id="rId16" display="https://sciencebasedtargets.org/resources/files/Supplier-Engagement-Guidance.pdf" xr:uid="{777BF35C-D85D-4F16-8445-E8582F1CC452}"/>
    <hyperlink ref="C20" r:id="rId17" display="ISO 50001 Energy Management" xr:uid="{7A1897CD-ABAC-40F4-8AB3-3CAA7080A059}"/>
    <hyperlink ref="C21" r:id="rId18" display="Benchmarking Industrial Energy Performance" xr:uid="{BA6DF41A-D0A8-495E-AB98-5F8C0ACD9865}"/>
    <hyperlink ref="C22" r:id="rId19" display="Raytheon Technologies Energy Management Guidebook" xr:uid="{654A432A-80EE-4F78-BAED-2D889A0FFB25}"/>
    <hyperlink ref="E21" r:id="rId20" display="https://www.energystar.gov/sites/default/files/tools/EPIBenchmarkingGuide_form.pdf" xr:uid="{D3962235-2AA9-4CFA-98A0-456CD19399FE}"/>
    <hyperlink ref="C23" r:id="rId21" display="Pathways to Commercial Liftoff" xr:uid="{1225093D-138C-4FE4-A1E8-0B394D98DD9B}"/>
    <hyperlink ref="C25" r:id="rId22" display="Energy Efficiency Measures" xr:uid="{DC7DAACA-538B-4E24-A854-5DD2FC4FD941}"/>
    <hyperlink ref="C26" r:id="rId23" display="Leveraging Electrification" xr:uid="{0C1D86E2-177B-4AB6-99AE-ED43919FF903}"/>
    <hyperlink ref="C29" r:id="rId24" display="Low-Emission Alternatives to Industrial Thermal Loads" xr:uid="{7A927A53-4F64-4C51-9545-5919C3204043}"/>
    <hyperlink ref="C28" r:id="rId25" display="Utility Engagement Playbook for Industrial Customers" xr:uid="{B31A3BDF-0B8D-4FA3-BDD0-1BA67CCD2B8E}"/>
    <hyperlink ref="C31" r:id="rId26" display="Portfolio Screening and Prioritization for Onsite Energy" xr:uid="{4AAEE852-59AC-4C6D-82F2-3B6A3CCBAA7B}"/>
    <hyperlink ref="C35" r:id="rId27" display="Pathways to Commercial Liftoff" xr:uid="{631B136F-7DA8-4F9C-A0F3-7BE87960430E}"/>
    <hyperlink ref="C36" r:id="rId28" display="Better Plants Trainings" xr:uid="{1BF5B981-1C4A-44CB-B23E-8C2A462A633F}"/>
    <hyperlink ref="C33" r:id="rId29" display="Transitioning to Low-GWP Alternatives" xr:uid="{D40FA47F-1754-47FE-8BCC-4464D87D7D4B}"/>
    <hyperlink ref="C32" r:id="rId30" display="Carbon Capture, Utilisation and Storage" xr:uid="{3985FD8B-90FB-4638-BB4B-4668B5649120}"/>
    <hyperlink ref="C30" r:id="rId31" display="Case Study Webinar Recording: AstraZeneca &amp; Vanguard Renewables U.S. RNG Agreement" xr:uid="{B38C2EA9-6EE6-4153-AD39-A6837AF8EA0B}"/>
    <hyperlink ref="C27" r:id="rId32" display="Electrification Working Group" xr:uid="{DE23D8F8-457B-45AA-9EE8-3C9F928FD422}"/>
    <hyperlink ref="C34" r:id="rId33" display="Best Practices for Replacing HFCs with Low-GWP Refrigerants" xr:uid="{B87C89CC-E352-459E-8F2D-98134F6D8CD0}"/>
    <hyperlink ref="E22" r:id="rId34" display="https://betterbuildingssolutioncenter.energy.gov/sites/default/files/tools/4519539_RTX Energy BMP Guidebook_Interactive_10-2022.pdf" xr:uid="{5E8D5500-DF3D-40C4-99C1-692442CDE133}"/>
    <hyperlink ref="E27" r:id="rId35" display="https://betterbuildingssolutioncenter.energy.gov/sites/default/files/attachments/Electrification Planning Working Group.pdf" xr:uid="{69D013B4-EF80-4388-BEC9-F4FD947260E4}"/>
    <hyperlink ref="E29" r:id="rId36" display="https://betterbuildingssolutioncenter.energy.gov/sites/default/files/Low Emissions Alt Fact Sheet.pdf" xr:uid="{B1D62CFC-BCCA-4913-B686-19AFCB9FFAE8}"/>
    <hyperlink ref="E33" r:id="rId37" display="https://www.epa.gov/sites/default/files/2021-02/documents/transitioning_to_low-gwp_alternatives_in_res_and_com_ac_chillers.pdf" xr:uid="{98988340-45CB-407C-B130-10C744AEBE88}"/>
    <hyperlink ref="E34" r:id="rId38" display="https://betterbuildingssolutioncenter.energy.gov/sites/default/files/2024-04/2024Summit-15toPhasedown_ReplacingHFCs_Refrigerants-Slides.pdf" xr:uid="{7E25855B-19CE-4A4A-AFFB-3AB0D7C4363A}"/>
    <hyperlink ref="E31" r:id="rId39" display="https://betterbuildingssolutioncenter.energy.gov/sites/default/files/attachments/PortfolioPrioritization_Onsite.pdf" xr:uid="{FA21EE81-2950-4A2F-A5C3-379A86A4CB94}"/>
    <hyperlink ref="C37" r:id="rId40" display="Technology Focus Area" xr:uid="{95CFAE18-6D6F-43AB-9862-30D3BD73E767}"/>
    <hyperlink ref="C39" r:id="rId41" display="Renewable Energy " xr:uid="{F3AA8817-2B90-47A0-8E8E-6F8D232E01A0}"/>
    <hyperlink ref="C40" r:id="rId42" display="Alternative Fuel Data Center" xr:uid="{AD0F510B-3AB3-4F4F-B918-80A2375F9AF4}"/>
    <hyperlink ref="C41" r:id="rId43" display="Demand Response in Industrial Facilities: Peak Electric Demand" xr:uid="{9DF09F40-7D80-4F28-AF93-DD30A07C095A}"/>
    <hyperlink ref="C43" r:id="rId44" display="Industrial Technology Validation Program" xr:uid="{701559DD-664E-4C27-84DE-A5691BA18DC7}"/>
    <hyperlink ref="C42" r:id="rId45" display="Combined Heat and Power (CHP) Deployment Resources" xr:uid="{5D913E46-0572-4F43-A969-1488E92DFE13}"/>
    <hyperlink ref="E41" r:id="rId46" display="https://betterbuildingssolutioncenter.energy.gov/sites/default/files/attachments/Demand Response in Industrial Manufacturing_Final V2.pdf" xr:uid="{C7BAFF08-7827-4BDC-A7B6-4BF552A9E8A2}"/>
    <hyperlink ref="C45" r:id="rId47" display="Industrial Decarbonization Roadmap" xr:uid="{33F90221-AFBE-494B-9BBD-B33E22605438}"/>
    <hyperlink ref="C46" r:id="rId48" display="TCFD Climate Scenario Analysis" xr:uid="{C6794E93-FD43-4766-AAA3-59EB54363C1C}"/>
    <hyperlink ref="C47" r:id="rId49" display="TCFD Recommendations" xr:uid="{3C9A0D80-71B3-4AE7-8178-E7F56206AC41}"/>
    <hyperlink ref="E45" r:id="rId50" display="https://www.energy.gov/sites/default/files/2022-09/Industrial Decarbonization Roadmap.pdf" xr:uid="{06EAE2FB-9B93-453D-B17B-FC780191CF90}"/>
    <hyperlink ref="E46" r:id="rId51" display="https://www.accountingforsustainability.org/content/dam/a4s/corporate/home/KnowledgeHub/Guide-pdf/A4S Guide to TCFD Climate Scenario Analysis.pdf.downloadasset.pdf" xr:uid="{59A7506B-8EA0-4F04-82F0-29D1FD448115}"/>
    <hyperlink ref="E9" r:id="rId52" display="https://ghgprotocol.org/sites/default/files/standards/ghg-protocol-revised.pdf" xr:uid="{6995E1A1-42CC-443A-961D-D0C70E5A220F}"/>
    <hyperlink ref="E13" r:id="rId53" display="https://www.epa.gov/sites/default/files/2020-12/documents/electricityemissions.pdf" xr:uid="{9CAC53E1-2292-4406-8253-CF0363814480}"/>
    <hyperlink ref="C7" r:id="rId54" xr:uid="{6EA38226-93A1-4B84-99FE-013D2C0A77A7}"/>
    <hyperlink ref="E7" r:id="rId55" display="https://www.sustainability.com/globalassets/sustainability.com/thinking/pdfs/sa-common-threads-full-report.pdf" xr:uid="{B100443E-75C2-447D-858E-98A54BDEDDCA}"/>
    <hyperlink ref="C8" r:id="rId56" display="ESSENTIAL GUIDE TO ENHANCING INVESTOR ENGAGEMENT" xr:uid="{AD496604-3C46-48F1-A8A5-03A240A094C2}"/>
    <hyperlink ref="C48" r:id="rId57" xr:uid="{A123B4BD-29D1-47A1-9A70-FA016414ABBF}"/>
    <hyperlink ref="C49" r:id="rId58" display="Task 4.2: How to get internal carbon pricing right" xr:uid="{A2677E64-1232-4AE9-A01B-C0ED07D63AB4}"/>
    <hyperlink ref="E49" r:id="rId59" display="https://kpmg.com/kpmg-us/content/dam/kpmg/pdf/2023/how-to-get-internal-carbon-pricing-right.pdf" xr:uid="{0298AFF2-8A9D-48A8-9AA6-1E891D775F64}"/>
    <hyperlink ref="C50" r:id="rId60" xr:uid="{F01033E2-482E-44ED-B0A3-093C0BE0A950}"/>
    <hyperlink ref="E51" r:id="rId61" display="https://liftoff.energy.gov/wp-content/uploads/2025/01/20230321-H2-Pathways-to-Commercial-Liftoff-Webinar-vF_web_Feb-2025.pdf" xr:uid="{FF5E69FC-3CC3-46CC-8563-42FEDA091E87}"/>
    <hyperlink ref="C52" r:id="rId62" xr:uid="{A7708B31-9D94-4D36-B954-52E5BF7282B3}"/>
    <hyperlink ref="C51" r:id="rId63" xr:uid="{E4B1DB19-7B67-4E6D-A8BA-B9CEB2A95D24}"/>
    <hyperlink ref="C69" r:id="rId64" xr:uid="{172149E5-8877-4751-A57F-9A0362852446}"/>
    <hyperlink ref="E67" r:id="rId65" display="https://www.edf.org/sites/default/files/documents/MACC_2.0 report_Evolved_EDF.pdf" xr:uid="{F318B8FD-B1E1-42C6-9AC5-D098B7AAD42B}"/>
    <hyperlink ref="E68" r:id="rId66" display="https://www.nrel.gov/docs/fy25osti/92410.pdf" xr:uid="{5476A124-94EE-4AEE-9344-9ED3484CEC13}"/>
    <hyperlink ref="C68" r:id="rId67" display="https://www.nrel.gov/docs/fy25osti/92410.pdf" xr:uid="{ED7FA785-B7E1-4A58-A837-969AF3968E43}"/>
    <hyperlink ref="C67" r:id="rId68" xr:uid="{A92454D1-B6C9-4525-AD51-8D3AC405DE5F}"/>
    <hyperlink ref="C66" r:id="rId69" xr:uid="{114D8083-09DF-4F64-9B64-76456B09AB6D}"/>
    <hyperlink ref="C38" r:id="rId70" xr:uid="{13A947CF-7A8B-4CAC-80FE-B33D180EAB23}"/>
    <hyperlink ref="C55" r:id="rId71" xr:uid="{3DDDB159-D22B-477A-BA77-B45EDD2D4C5E}"/>
    <hyperlink ref="C54" r:id="rId72" display="Task 2.2:ArcelorMittal USA: Power of 1 Contest Increases Employee Engagement and Generates Low- and No-Cost Project Ideas " xr:uid="{E239D8C0-0F02-44BE-9BE0-2F4D82FB59E5}"/>
    <hyperlink ref="C56" r:id="rId73" display="Task 2.3: Better plants: Diagnostic tools" xr:uid="{BD4B138E-4179-4A73-978A-B503E2C97B4D}"/>
    <hyperlink ref="C57" r:id="rId74" display="Task 2.4:​Nissan North America's Modified Payback Approach to Funding Energy Efficiency Projects " xr:uid="{4AF42B69-DCAE-4FB7-AA79-0F61745594D4}"/>
    <hyperlink ref="C58" r:id="rId75" display="Task 2.4KPMG's Guide to Implementing Internal Carbon Pricing" xr:uid="{E643572C-4FB7-4ABC-B164-1036D5075334}"/>
    <hyperlink ref="C59" r:id="rId76" xr:uid="{5409708A-F4EC-44D2-B145-5E430604D9C8}"/>
    <hyperlink ref="C60" r:id="rId77" xr:uid="{278D1985-7ECF-4A6B-B9BA-BB721F7391AE}"/>
    <hyperlink ref="E58" r:id="rId78" display="https://kpmg.com/kpmg-us/content/dam/kpmg/pdf/2023/how-to-get-internal-carbon-pricing-right.pdf" xr:uid="{813C8F22-FDEF-41DC-98AB-03F3C72EF8F9}"/>
    <hyperlink ref="E61" r:id="rId79" display="https://www.cov.com/-/media/files/corporate/sustainability-toolkit/sustainability-toolkit-corporate-strategy-for-sustainable-energy-procurement.pdf" xr:uid="{6346C792-81C2-47AF-9312-0BB8B75B89DF}"/>
    <hyperlink ref="C61" r:id="rId80" xr:uid="{F58720B6-8489-4DB1-A04E-412A434481D5}"/>
    <hyperlink ref="C62" r:id="rId81" xr:uid="{DE2CBA2B-96A5-40C0-B852-750BB5418528}"/>
    <hyperlink ref="E62" r:id="rId82" display="https://www.icmagroup.org/assets/documents/Sustainable-finance/2022-updates/Green-Bond-Principles-June-2022-060623.pdf" xr:uid="{1E5D2ADE-37DE-4BEA-BD13-33AD1C608F6E}"/>
    <hyperlink ref="C63" r:id="rId83" display="Task 2.7: Electrolux Group: Driving Climate Action through the Green Financing Framework and Long-term Incentive Program" xr:uid="{87C79CF5-4CF8-491D-8F71-6DCEECF6FD83}"/>
    <hyperlink ref="C64" r:id="rId84" xr:uid="{BE505803-010B-4712-BD1E-4ABFF7141543}"/>
    <hyperlink ref="C65" r:id="rId85" xr:uid="{E8E60FB4-069D-4C88-AD81-71CAA7DA3AD6}"/>
    <hyperlink ref="F7" r:id="rId86" display="https://web.archive.org/web/20250411160651/https:/www.sustainability.com/globalassets/sustainability.com/thinking/pdfs/sa-common-threads-full-report.pdf" xr:uid="{F89A761E-1994-47FF-9469-D4A4A0BBE75B}"/>
    <hyperlink ref="F8" r:id="rId87" display="https://web.archive.org/web/20250411162423/https:/www.accountingforsustainability.org/content/dam/a4s/corporate/home/KnowledgeHub/Guide-pdf/A4S Enhancing Investor Engagement Maturity Map.pdf.downloadasset.pdf" xr:uid="{623D4543-F8CF-439A-9456-0C677F9CE07F}"/>
    <hyperlink ref="F9" r:id="rId88" display="https://web.archive.org/web/20250411181423/https:/ghgprotocol.org/sites/default/files/standards/ghg-protocol-revised.pdf" xr:uid="{969C0EFD-DF14-49B8-B4CA-6D31947D5626}"/>
    <hyperlink ref="F10" r:id="rId89" display="https://web.archive.org/web/20250411163104/https:/www.epa.gov/sites/default/files/2020-12/documents/stationaryemissions.pdf" xr:uid="{885C55BD-D872-4BC1-AF8C-85ADCC9B2AC8}"/>
    <hyperlink ref="F12" r:id="rId90" display="https://web.archive.org/web/20250411163350/https:/www.epa.gov/sites/default/files/2020-12/documents/fugitiveemissions.pdf" xr:uid="{F639F8A2-7C9D-45F5-9E47-D2F6D2873437}"/>
    <hyperlink ref="F11" r:id="rId91" display="https://web.archive.org/web/20250411163335/https:/www.epa.gov/sites/default/files/2020-12/documents/mobileemissions.pdf" xr:uid="{8073E23C-DDC7-4315-AC9C-35C0401B1115}"/>
    <hyperlink ref="F13" r:id="rId92" display="https://web.archive.org/web/20250411163505/https:/www.epa.gov/sites/default/files/2020-12/documents/electricityemissions.pdf" xr:uid="{13D4CCA7-61A3-4502-84E2-2CB0380DBD26}"/>
    <hyperlink ref="F14" r:id="rId93" display="https://web.archive.org/web/20250411163500/https:/www.globalreporting.org/how-to-use-the-gri-standards/resource-center/?g=e918f7e7-34dc-40f2-9efa-0ff88f1ec1d6&amp;id=12510" xr:uid="{D37085CA-F52E-4A15-AB6C-3793586DC9E3}"/>
    <hyperlink ref="F15" r:id="rId94" display="https://web.archive.org/web/20250411181209/https:/sciencebasedtargets.org/resources/files/Net-Zero-Standard-Criteria.pdf" xr:uid="{A651AF48-276B-414E-AF62-26287B8343A9}"/>
    <hyperlink ref="F16" r:id="rId95" display="https://web.archive.org/web/20250411163954/https:/www.there100.org/technical-guidance" xr:uid="{2BB6D523-316F-4488-A1AB-78620008C96D}"/>
    <hyperlink ref="F17" r:id="rId96" display="https://betterbuildingssolutioncenter.energy.gov/sites/default/files/attachments/Energy Intensity Baselining and Tracking Guidance 2020.pdf" xr:uid="{455805A2-6A8A-4B9A-BDCC-7C86D67BD606}"/>
    <hyperlink ref="F18" r:id="rId97" display="https://web.archive.org/web/20250411164558/https:/sciencebasedtargets.org/resources/files/Supplier-Engagement-Guidance.pdf" xr:uid="{54705054-3AAF-435A-8E5C-AE2890E9A0CC}"/>
    <hyperlink ref="F20" r:id="rId98" display="https://web.archive.org/web/20250411164835/https:/www1.eere.energy.gov/manufacturing/eguide/iso_step_2_5.html" xr:uid="{69767B11-3A5E-40B1-A4F8-1A05657C4658}"/>
    <hyperlink ref="F21" r:id="rId99" display="https://web.archive.org/web/20250403210539/https:/www.energystar.gov/sites/default/files/tools/EPIBenchmarkingGuide_form.pdf" xr:uid="{FB145682-5B65-4E41-8744-216C82A94A95}"/>
    <hyperlink ref="F22" r:id="rId100" display="https://web.archive.org/web/20250411165233/https:/betterbuildingssolutioncenter.energy.gov/sites/default/files/tools/4519539_RTX Energy BMP Guidebook_Interactive_10-2022.pdf" xr:uid="{40B79F93-A553-4360-A65A-890BAC73F13D}"/>
    <hyperlink ref="F23" r:id="rId101" display="https://web.archive.org/web/20250411165949/https:/liftoff.energy.gov/" xr:uid="{EA8E5FC5-8F60-48B0-BCE1-3B17BA74DC84}"/>
    <hyperlink ref="F25" r:id="rId102" display="https://web.archive.org/web/20250411165959/https:/betterbuildingssolutioncenter.energy.gov/efficiency/energy-efficiency/tech" xr:uid="{0FEA3FA0-C479-4610-9A69-337BFE1FF307}"/>
    <hyperlink ref="F26" r:id="rId103" display="https://web.archive.org/web/20250411170626/https:/betterbuildingssolutioncenter.energy.gov/efficiency/electrification" xr:uid="{80306DD8-A4B7-4BB9-93DB-E47D23C5E67E}"/>
    <hyperlink ref="F27" r:id="rId104" display="https://web.archive.org/web/20250411180657/https:/betterbuildingssolutioncenter.energy.gov/sites/default/files/attachments/Electrification Planning Working Group.pdf" xr:uid="{A3D8D6C3-00D5-4704-802D-8894E8A28BC0}"/>
    <hyperlink ref="F28" r:id="rId105" display="https://web.archive.org/web/20250411170935/https:/www.renewablethermal.org/utility-engagement-playbook/" xr:uid="{1E028D1B-202C-4983-AF62-A11D1F48E3E9}"/>
    <hyperlink ref="F29" r:id="rId106" display="https://web.archive.org/web/20250411171002/https:/betterbuildingssolutioncenter.energy.gov/sites/default/files/Low Emissions Alt Fact Sheet.pdf" xr:uid="{C1530DE3-A85F-4137-925E-E2866897D38E}"/>
    <hyperlink ref="F30" r:id="rId107" display="https://web.archive.org/web/20250411171302/https:/www.renewablethermal.org/case-study-webinar-recording-astrazeneca-amp-vanguard-renewables-u-s-rng-agreement/" xr:uid="{D97BB35C-0D94-42A1-AFBF-F5FE8CF1125B}"/>
    <hyperlink ref="F32" r:id="rId108" display="https://web.archive.org/web/20250411171637/https:/www.iea.org/energy-system/carbon-capture-utilisation-and-storage" xr:uid="{240DA939-DEE3-4384-805F-BC819721D96D}"/>
    <hyperlink ref="F33" r:id="rId109" display="https://web.archive.org/web/20250411171710/https:/www.epa.gov/sites/default/files/2021-02/documents/transitioning_to_low-gwp_alternatives_in_res_and_com_ac_chillers.pdf" xr:uid="{CB63F1F3-EA9C-4BA9-A4BC-61566D0749BF}"/>
    <hyperlink ref="F35" r:id="rId110" display="https://web.archive.org/web/20250411165949/https:/liftoff.energy.gov/" xr:uid="{ABDB5418-2E9F-4998-BCF2-514401CCDEA5}"/>
    <hyperlink ref="F34" r:id="rId111" display="https://web.archive.org/web/20250411172122/https:/betterbuildingssolutioncenter.energy.gov/sites/default/files/2024-04/2024Summit-15toPhasedown_ReplacingHFCs_Refrigerants-Slides.pdf" xr:uid="{6D9536AD-5EC7-402F-911D-DC152899B230}"/>
    <hyperlink ref="F36" r:id="rId112" display="https://web.archive.org/web/20250411172233/https:/betterbuildingssolutioncenter.energy.gov/better-plants/better-plants-trainings" xr:uid="{D66B2BA7-E105-44B6-8361-BC5E71C367C4}"/>
    <hyperlink ref="F37" r:id="rId113" display="https://web.archive.org/web/20250411172401/https:/betterbuildingssolutioncenter.energy.gov/better plants/better-plants-resource-library" xr:uid="{57B4C4DC-4E27-4B1D-8C10-524013EB36BA}"/>
    <hyperlink ref="F38" r:id="rId114" display="https://web.archive.org/web/20250411172540/https:/betterbuildingssolutioncenter.energy.gov/implementation-models/general-motors-energy-and-carbon-optimization-toolbox" xr:uid="{58E55442-5A8B-4197-A49E-14FED2715CE4}"/>
    <hyperlink ref="F39" r:id="rId115" display="https://web.archive.org/web/20250411172806/https:/betterbuildingssolutioncenter.energy.gov/renewables" xr:uid="{9DAB3B89-E14B-4E06-9AC0-E4D3FE40159B}"/>
    <hyperlink ref="F40" r:id="rId116" display="https://afdc.energy.gov/" xr:uid="{9FD39E6B-75FE-493B-9D6D-F618E1FE39A3}"/>
    <hyperlink ref="F41" r:id="rId117" display="https://web.archive.org/web/20250411173034/https:/betterbuildingssolutioncenter.energy.gov/sites/default/files/attachments/Demand Response in Industrial Manufacturing_Final V2.pdf" xr:uid="{62984C48-6B73-4BCE-8798-11A5662487A6}"/>
    <hyperlink ref="F42" r:id="rId118" display="https://web.archive.org/web/20250411173054/https:/betterbuildingssolutioncenter.energy.gov/onsite-energy/chp-deployment-resources" xr:uid="{6E18BB17-F431-4C14-A4CD-3F8ABEAAAD34}"/>
    <hyperlink ref="F54" r:id="rId119" display="https://web.archive.org/web/20250411173323/https:/www.energy.gov/sites/default/files/2022-09/Industrial Decarbonization Roadmap.pdf" xr:uid="{A52D43B4-DCBC-4F96-8E0D-D8B9EDB3E1FE}"/>
    <hyperlink ref="F52" r:id="rId120" display="https://web.archive.org/web/20250411173512/https:/betterbuildingssolutioncenter.energy.gov/industrial-technology-validation-program" xr:uid="{500D045B-46C2-41F4-B418-36CF7DCE4F7E}"/>
    <hyperlink ref="F55" r:id="rId121" display="https://web.archive.org/web/20250411174022/https:/bptraining.ornl.gov/" xr:uid="{3D722CAA-C84B-429D-B714-D068838D6B49}"/>
    <hyperlink ref="F56" r:id="rId122" display="https://web.archive.org/web/20250411174018/https:/betterbuildingssolutioncenter.energy.gov/better-plants/diagnostic-tools" xr:uid="{53C006AC-5DF1-463C-8962-5580766BC6FA}"/>
    <hyperlink ref="F58" r:id="rId123" display="https://web.archive.org/web/20250411174248/https:/kpmg.com/kpmg-us/content/dam/kpmg/pdf/2023/how-to-get-internal-carbon-pricing-right.pdf" xr:uid="{4F4259F4-D91F-42C0-8A83-DD178A96384D}"/>
    <hyperlink ref="F57" r:id="rId124" display="https://web.archive.org/web/20250411174311/https:/betterbuildingssolutioncenter.energy.gov/implementation-models/nissan-north-america-funds-energy-efficiency-projects-modified-payback" xr:uid="{E1190732-2C90-4FB1-AFA9-B3CE1F84A238}"/>
    <hyperlink ref="F59" r:id="rId125" display="https://web.archive.org/web/20250411174549/https:/betterbuildingssolutioncenter.energy.gov/implementation-models/energy-champions-all-plants" xr:uid="{88635213-8AD8-460A-9FEC-E32EC4D9411D}"/>
    <hyperlink ref="F60" r:id="rId126" display="https://web.archive.org/web/20250411174647/https:/betterbuildingssolutioncenter.energy.gov/implementation-models/celanese-corporation-raising-energy-engagement-plant-operations-teams-energy" xr:uid="{3D537481-BF9A-4617-8570-C4DCC48824B2}"/>
    <hyperlink ref="F61" r:id="rId127" display="https://web.archive.org/web/20250411174915/https:/www.cov.com/-/media/files/corporate/sustainability-toolkit/sustainability-toolkit-corporate-strategy-for-sustainable-energy-procurement.pdf" xr:uid="{B62407A1-5E8C-4216-A669-621024A6F0BF}"/>
    <hyperlink ref="F62" r:id="rId128" display="https://web.archive.org/web/20250411174913/https:/www.icmagroup.org/assets/documents/Sustainable-finance/2022-updates/Green-Bond-Principles-June-2022-060623.pdf" xr:uid="{E3385720-A0EA-4C15-B33A-A614B568E166}"/>
    <hyperlink ref="F63" r:id="rId129" display="https://web.archive.org/web/20250411175334/https:/betterbuildingssolutioncenter.energy.gov/implementation-models/electrolux-group-driving-climate-action-through-green-financing-framework-and" xr:uid="{5F45A8E1-A838-4066-92D8-FB735D85F24A}"/>
    <hyperlink ref="F64" r:id="rId130" display="https://web.archive.org/web/20250411175342/https:/betterbuildingssolutioncenter.energy.gov/better-plants/partner-recognition" xr:uid="{E9C6645E-427A-41F8-8866-73DBE444EDBA}"/>
    <hyperlink ref="F65" r:id="rId131" display="https://web.archive.org/web/20250411175622/https:/www.energystar.gov/industrial_plants/earn-recognition/plant-certification" xr:uid="{9CB20345-A750-4789-81F2-5310E152D5C3}"/>
    <hyperlink ref="F66" r:id="rId132" display="https://web.archive.org/web/20250411175709/https:/betterbuildingssolutioncenter.energy.gov/financing-navigator/allies" xr:uid="{8D376342-A093-4A36-BE4C-63B7A09FE190}"/>
    <hyperlink ref="F67" r:id="rId133" display="https://web.archive.org/web/20250411175821/https:/www.edf.org/sites/default/files/documents/MACC_2.0 report_Evolved_EDF.pdf" xr:uid="{8C8757CF-599E-49E5-97C3-C9CC663482E1}"/>
    <hyperlink ref="F68" r:id="rId134" display="https://web.archive.org/web/20250411175903/https:/www.nrel.gov/docs/fy25osti/92410.pdf" xr:uid="{5CC89237-4CFA-488C-BBCB-B01B97CCED3F}"/>
    <hyperlink ref="F69" r:id="rId135" display="https://web.archive.org/web/20250411180252/https:/help.cdp.net/en-us/knowledgebase/article/KA-01025" xr:uid="{37F37801-3715-4E78-A0F0-75A9D76D287F}"/>
    <hyperlink ref="F31" r:id="rId136" display="https://web.archive.org/web/20250411180432/https:/betterbuildingssolutioncenter.energy.gov/sites/default/files/attachments/PortfolioPrioritization_Onsite.pdf" xr:uid="{1DF33D0A-0D22-40D6-A58C-DA0A61F9865F}"/>
  </hyperlinks>
  <pageMargins left="0.7" right="0.7" top="0.75" bottom="0.75" header="0.3" footer="0.3"/>
  <pageSetup orientation="portrait" r:id="rId137"/>
  <drawing r:id="rId1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D628-FE20-438F-BBEA-031C48ACCEB5}">
  <sheetPr codeName="Sheet12"/>
  <dimension ref="A1:H119"/>
  <sheetViews>
    <sheetView topLeftCell="A70" workbookViewId="0">
      <selection activeCell="D70" sqref="D70"/>
    </sheetView>
  </sheetViews>
  <sheetFormatPr defaultColWidth="12.77734375" defaultRowHeight="13.2"/>
  <cols>
    <col min="1" max="1" width="68.21875" style="279" customWidth="1"/>
    <col min="2" max="2" width="46.88671875" style="279" customWidth="1"/>
    <col min="3" max="3" width="29.21875" style="279" customWidth="1"/>
    <col min="4" max="4" width="35.21875" style="279" customWidth="1"/>
    <col min="5" max="5" width="63.6640625" style="279" bestFit="1" customWidth="1"/>
    <col min="6" max="6" width="51.88671875" style="279" customWidth="1"/>
    <col min="7" max="7" width="12.77734375" style="279"/>
    <col min="8" max="8" width="30.5546875" style="279" customWidth="1"/>
    <col min="9" max="16384" width="12.77734375" style="279"/>
  </cols>
  <sheetData>
    <row r="1" spans="1:6" s="277" customFormat="1">
      <c r="A1" s="274"/>
      <c r="B1" s="275" t="s">
        <v>373</v>
      </c>
      <c r="C1" s="276" t="s">
        <v>374</v>
      </c>
      <c r="D1" s="276" t="s">
        <v>437</v>
      </c>
      <c r="E1" s="1087" t="s">
        <v>813</v>
      </c>
      <c r="F1" s="1087"/>
    </row>
    <row r="2" spans="1:6" ht="93">
      <c r="A2" s="278" t="s">
        <v>375</v>
      </c>
      <c r="E2" s="274" t="s">
        <v>491</v>
      </c>
      <c r="F2" s="274" t="s">
        <v>814</v>
      </c>
    </row>
    <row r="3" spans="1:6" ht="145.19999999999999">
      <c r="A3" s="279" t="str">
        <f>Milestone_1!K9</f>
        <v>Please identify all internal stakeholders involved in developing and implementing the Emission Reduction Plan and how you are engaging with them? (Select all that apply)</v>
      </c>
      <c r="B3" s="280" t="s">
        <v>438</v>
      </c>
    </row>
    <row r="4" spans="1:6" ht="158.4">
      <c r="A4" s="279" t="str">
        <f>Milestone_1!K25</f>
        <v>Please identify all external stakeholders involved in developing the Emission Reduction Plan? (Select all that apply)</v>
      </c>
      <c r="B4" s="280" t="s">
        <v>439</v>
      </c>
    </row>
    <row r="5" spans="1:6" ht="118.8">
      <c r="A5" s="278" t="s">
        <v>376</v>
      </c>
      <c r="E5" s="274" t="s">
        <v>492</v>
      </c>
      <c r="F5" s="274" t="s">
        <v>713</v>
      </c>
    </row>
    <row r="6" spans="1:6" ht="63" customHeight="1">
      <c r="A6" s="281" t="str">
        <f>Milestone_1!K45</f>
        <v>Which consolidation approach does your company use to consolidate your GHG inventory? (Select any one)</v>
      </c>
      <c r="B6" s="280" t="s">
        <v>504</v>
      </c>
      <c r="C6" s="282"/>
      <c r="D6" s="344" t="s">
        <v>440</v>
      </c>
    </row>
    <row r="7" spans="1:6" ht="51" customHeight="1">
      <c r="A7" s="281" t="str">
        <f>Milestone_1!K50</f>
        <v xml:space="preserve">Which emissions are included in your GHG inventory boundary? </v>
      </c>
      <c r="B7" s="280" t="s">
        <v>505</v>
      </c>
      <c r="C7" s="282"/>
      <c r="D7" s="283" t="s">
        <v>441</v>
      </c>
    </row>
    <row r="8" spans="1:6" ht="51" customHeight="1">
      <c r="A8" s="281" t="str">
        <f>Milestone_1!K88</f>
        <v>How do you maintain data quality and integrity in your GHG emissions tracking system (Select any one)</v>
      </c>
      <c r="B8" s="280" t="s">
        <v>506</v>
      </c>
      <c r="C8" s="280" t="s">
        <v>442</v>
      </c>
      <c r="D8" s="343"/>
    </row>
    <row r="9" spans="1:6" ht="211.2">
      <c r="A9" s="278" t="s">
        <v>377</v>
      </c>
      <c r="C9" s="274" t="s">
        <v>445</v>
      </c>
      <c r="E9" s="274" t="s">
        <v>493</v>
      </c>
      <c r="F9" s="274" t="s">
        <v>1224</v>
      </c>
    </row>
    <row r="10" spans="1:6" ht="25.05" customHeight="1">
      <c r="A10" s="279" t="e">
        <f>Milestone_1!#REF!</f>
        <v>#REF!</v>
      </c>
      <c r="B10" s="288" t="s">
        <v>445</v>
      </c>
    </row>
    <row r="11" spans="1:6">
      <c r="A11" s="279" t="str">
        <f>Milestone_1!K95</f>
        <v>Do you have a net zero or carbon neutral goal? (Select any one)</v>
      </c>
      <c r="B11" s="288"/>
      <c r="D11" s="286" t="s">
        <v>443</v>
      </c>
    </row>
    <row r="12" spans="1:6" ht="25.05" customHeight="1">
      <c r="A12" s="279" t="str">
        <f>Milestone_1!K101</f>
        <v>Do you have additional renewable energy procurement (RE100) goal? (Select any one)</v>
      </c>
      <c r="B12" s="288"/>
      <c r="D12" s="286" t="s">
        <v>444</v>
      </c>
    </row>
    <row r="13" spans="1:6" ht="25.05" customHeight="1">
      <c r="A13" s="279" t="str">
        <f>Milestone_1!K106</f>
        <v xml:space="preserve">Do you have other strategic goals? (E.g.: Energy-intensity target or Scope 3 reductions) (Type in your answer) </v>
      </c>
    </row>
    <row r="14" spans="1:6" ht="118.8">
      <c r="A14" s="278" t="s">
        <v>378</v>
      </c>
      <c r="E14" s="274" t="s">
        <v>494</v>
      </c>
    </row>
    <row r="15" spans="1:6" ht="112.5" customHeight="1">
      <c r="A15" s="279" t="str">
        <f>Milestone_1!K113</f>
        <v>How do you evaluate and prioritize GHG emissions reduction projects across your operations? (Select any one)</v>
      </c>
      <c r="B15" s="284" t="s">
        <v>507</v>
      </c>
      <c r="C15" s="285" t="s">
        <v>446</v>
      </c>
    </row>
    <row r="16" spans="1:6" ht="49.95" customHeight="1">
      <c r="A16" s="279" t="str">
        <f>Milestone_1!K119</f>
        <v>Beyond emission reduction and energy savings, what strategic criteria guide your decision-making in selecting projects for your ERP? (Select all that apply)</v>
      </c>
      <c r="B16" s="280" t="s">
        <v>508</v>
      </c>
    </row>
    <row r="17" spans="1:6" ht="79.2">
      <c r="A17" s="278" t="s">
        <v>379</v>
      </c>
      <c r="E17" s="274" t="s">
        <v>509</v>
      </c>
      <c r="F17" s="274" t="s">
        <v>714</v>
      </c>
    </row>
    <row r="18" spans="1:6" ht="49.95" customHeight="1">
      <c r="A18" s="279" t="str">
        <f>Milestone_2!K7</f>
        <v>What characteristics of your facilities and processes do you capture across your operations to identify high-impact emissions reduction measures? (Select all that apply)</v>
      </c>
      <c r="B18" s="280" t="s">
        <v>449</v>
      </c>
      <c r="C18" s="282"/>
      <c r="D18" s="282"/>
    </row>
    <row r="19" spans="1:6" ht="105.6">
      <c r="A19" s="278" t="s">
        <v>380</v>
      </c>
      <c r="E19" s="274" t="s">
        <v>495</v>
      </c>
      <c r="F19" s="274" t="s">
        <v>715</v>
      </c>
    </row>
    <row r="20" spans="1:6" ht="75.45" customHeight="1">
      <c r="A20" s="279" t="str">
        <f>Milestone_2!K21</f>
        <v>How have you identified and quantified your significant GHG emitters (SGEs)? (Select all that apply)</v>
      </c>
      <c r="B20" s="280" t="s">
        <v>510</v>
      </c>
      <c r="C20" s="282"/>
      <c r="D20" s="282"/>
    </row>
    <row r="21" spans="1:6" ht="105.6">
      <c r="A21" s="278" t="s">
        <v>381</v>
      </c>
      <c r="E21" s="274" t="s">
        <v>1185</v>
      </c>
      <c r="F21" s="274" t="s">
        <v>716</v>
      </c>
    </row>
    <row r="22" spans="1:6" ht="49.95" customHeight="1">
      <c r="A22" s="279" t="str">
        <f>Milestone_2!K28</f>
        <v>Do you benchmark facility/system performance internally or with other industry? (Select all that apply)</v>
      </c>
      <c r="B22" s="280" t="s">
        <v>450</v>
      </c>
      <c r="C22" s="282"/>
      <c r="D22" s="282"/>
    </row>
    <row r="23" spans="1:6" ht="316.8">
      <c r="A23" s="287" t="str">
        <f>Milestone_2!K33</f>
        <v>Does your organization have documented best practices and operational standards? (Select all that apply)</v>
      </c>
      <c r="B23" s="329" t="s">
        <v>467</v>
      </c>
      <c r="C23" s="287"/>
      <c r="D23" s="287"/>
      <c r="E23" s="287"/>
    </row>
    <row r="24" spans="1:6" ht="39.6">
      <c r="A24" s="278" t="s">
        <v>382</v>
      </c>
      <c r="E24" s="274" t="s">
        <v>496</v>
      </c>
    </row>
    <row r="25" spans="1:6" ht="184.8">
      <c r="A25" s="279" t="str">
        <f>Milestone_2!K41</f>
        <v>How are SGEs prioritized for further analysis? (Type in your answer) {Please rank the following from 1 (highest priority) to 4 (lowest priority)}</v>
      </c>
      <c r="B25" s="280" t="s">
        <v>487</v>
      </c>
      <c r="C25" s="280" t="s">
        <v>451</v>
      </c>
      <c r="D25" s="282"/>
    </row>
    <row r="26" spans="1:6" ht="26.4">
      <c r="A26" s="287" t="str">
        <f>Milestone_2!K47</f>
        <v>Please list any SGEs you have not found alternate fuel technologies for? (Type in your answer)</v>
      </c>
      <c r="B26" s="287"/>
      <c r="C26" s="287"/>
      <c r="D26" s="287"/>
      <c r="E26" s="287"/>
    </row>
    <row r="27" spans="1:6" ht="162.44999999999999" customHeight="1">
      <c r="A27" s="278" t="s">
        <v>394</v>
      </c>
      <c r="E27" s="274" t="s">
        <v>1186</v>
      </c>
      <c r="F27" s="268" t="s">
        <v>717</v>
      </c>
    </row>
    <row r="28" spans="1:6" ht="171.6">
      <c r="A28" s="279" t="str">
        <f>Milestone_3!K7</f>
        <v>Have you evaluated your sites for energy efficiency opportunities?  (Select any one)</v>
      </c>
      <c r="B28" s="280" t="s">
        <v>511</v>
      </c>
      <c r="C28" s="280" t="s">
        <v>383</v>
      </c>
    </row>
    <row r="29" spans="1:6" ht="198">
      <c r="A29" s="279" t="str">
        <f>Milestone_3!K13</f>
        <v>Have you evaluated your sites for electrification opportunities?  (Select any one)</v>
      </c>
      <c r="B29" s="280" t="s">
        <v>512</v>
      </c>
      <c r="C29" s="280" t="s">
        <v>1225</v>
      </c>
    </row>
    <row r="30" spans="1:6" ht="92.4">
      <c r="A30" s="279" t="str">
        <f>Milestone_3!K19</f>
        <v>When evaluating electrification ERMs do you consider planned renewable energy purchases and/or greening of the grid impact? (Select any one)</v>
      </c>
      <c r="B30" s="280" t="s">
        <v>1187</v>
      </c>
    </row>
    <row r="31" spans="1:6" ht="145.19999999999999">
      <c r="A31" s="279" t="str">
        <f>Milestone_3!K24</f>
        <v>When evaluating electrification ERMs have you assessed electrical capacity and infrastructure upgrade needs? (Select any one)</v>
      </c>
      <c r="B31" s="280" t="s">
        <v>513</v>
      </c>
    </row>
    <row r="32" spans="1:6" ht="198">
      <c r="A32" s="279" t="str">
        <f>Milestone_3!K29</f>
        <v>Have you evaluated your sites for stationary alternate fuel switching opportunities? (Select any one)</v>
      </c>
      <c r="B32" s="280" t="s">
        <v>514</v>
      </c>
      <c r="C32" s="280" t="s">
        <v>1226</v>
      </c>
    </row>
    <row r="33" spans="1:6" ht="105.6">
      <c r="A33" s="279" t="str">
        <f>Milestone_3!K35</f>
        <v>Have you assessed capacity and infrastructure upgrade needed for alternate fuel switching ERMs? (Select any one)</v>
      </c>
      <c r="B33" s="280" t="s">
        <v>515</v>
      </c>
    </row>
    <row r="34" spans="1:6" ht="328.8">
      <c r="A34" s="279" t="str">
        <f>Milestone_3!K41</f>
        <v>Have you identified vendors or systems that can produce low carbon fuel over the lifetime of the ERMs? (Select any one)</v>
      </c>
      <c r="B34" s="280" t="s">
        <v>1227</v>
      </c>
      <c r="C34" s="280" t="s">
        <v>384</v>
      </c>
    </row>
    <row r="35" spans="1:6" ht="184.8">
      <c r="A35" s="279" t="str">
        <f>Milestone_3!K46</f>
        <v>Have you evaluated your sites for on-site implementation of renewables? (Select any one)</v>
      </c>
      <c r="B35" s="280" t="s">
        <v>516</v>
      </c>
      <c r="C35" s="280" t="s">
        <v>385</v>
      </c>
    </row>
    <row r="36" spans="1:6" ht="211.2">
      <c r="A36" s="279" t="str">
        <f>Milestone_3!K52</f>
        <v>Are you considering carbon capture utilization and sequestration as an important technology to meet your long-term sustainability goal? (Select any one)</v>
      </c>
      <c r="B36" s="280" t="s">
        <v>826</v>
      </c>
      <c r="C36" s="280" t="s">
        <v>386</v>
      </c>
    </row>
    <row r="37" spans="1:6" ht="105.6">
      <c r="A37" s="279" t="str">
        <f>Milestone_3!K58</f>
        <v>Has your company included an evaluation of any significant fugitive and process related ERMs in an assessment for greenhouse gas (GHG) reduction opportunities? (Select any one)</v>
      </c>
      <c r="B37" s="280" t="s">
        <v>387</v>
      </c>
    </row>
    <row r="38" spans="1:6" ht="158.4">
      <c r="A38" s="279" t="str">
        <f>Milestone_3!K63</f>
        <v>Has your company identified alternative technologies or system upgrades to reduce carbon emissions from all SGEs within all the facilities?  (Select any one)</v>
      </c>
      <c r="B38" s="288" t="s">
        <v>1228</v>
      </c>
      <c r="C38" s="288" t="s">
        <v>388</v>
      </c>
    </row>
    <row r="39" spans="1:6" ht="37.5" customHeight="1">
      <c r="A39" s="287" t="s">
        <v>389</v>
      </c>
      <c r="B39" s="287"/>
      <c r="C39" s="287"/>
    </row>
    <row r="40" spans="1:6" ht="211.2">
      <c r="A40" s="278" t="s">
        <v>390</v>
      </c>
      <c r="E40" s="268" t="s">
        <v>1190</v>
      </c>
      <c r="F40" s="268" t="s">
        <v>718</v>
      </c>
    </row>
    <row r="41" spans="1:6" ht="198">
      <c r="A41" s="279" t="str">
        <f>Milestone_3!K86</f>
        <v>How does your company approach the implementation of energy efficiency measures and operational efficiency (industry best practices) across facilities? (Select any one)</v>
      </c>
      <c r="B41" s="280" t="s">
        <v>827</v>
      </c>
      <c r="C41" s="280" t="s">
        <v>391</v>
      </c>
    </row>
    <row r="42" spans="1:6" ht="158.4">
      <c r="A42" s="279" t="str">
        <f>Milestone_3!K93</f>
        <v>Do you have a corporate wide strategy for procuring renewable energy? (Select any one)</v>
      </c>
      <c r="B42" s="280" t="s">
        <v>488</v>
      </c>
      <c r="C42" s="280" t="s">
        <v>392</v>
      </c>
    </row>
    <row r="43" spans="1:6" ht="26.4">
      <c r="A43" s="289" t="str">
        <f>Milestone_3!K98</f>
        <v>Please specify what percentage of your company's total energy needs do you plan to meet through renewable energy procurement (Type in answer)</v>
      </c>
      <c r="B43" s="289"/>
      <c r="C43" s="289"/>
    </row>
    <row r="44" spans="1:6" ht="52.8">
      <c r="A44" s="279" t="str">
        <f>Milestone_3!K103</f>
        <v>What strategies has your company implemented or planned for reducing mobile emissions through vehicle asset purchases (select all that apply)</v>
      </c>
      <c r="B44" s="280" t="s">
        <v>393</v>
      </c>
    </row>
    <row r="45" spans="1:6" ht="92.4">
      <c r="A45" s="279" t="str">
        <f>Milestone_3!K111</f>
        <v>What additional projects is your company considering in the development of your Emissions Reduction Plan? (Select all that apply)</v>
      </c>
      <c r="B45" s="280" t="s">
        <v>1191</v>
      </c>
    </row>
    <row r="46" spans="1:6" ht="250.8">
      <c r="A46" s="279" t="str">
        <f>Milestone_3!K118</f>
        <v>How does your company plan to evaluate alternate fuel technology options for your major emission sources? (Type in your answer) {Please rank the following from 1 (highest priority) to 4 (lowest priority)}</v>
      </c>
      <c r="B46" s="280" t="s">
        <v>1192</v>
      </c>
      <c r="C46" s="280" t="s">
        <v>1229</v>
      </c>
    </row>
    <row r="47" spans="1:6" ht="175.05" customHeight="1">
      <c r="A47" s="278" t="s">
        <v>395</v>
      </c>
      <c r="E47" s="274" t="s">
        <v>1193</v>
      </c>
      <c r="F47" s="279" t="s">
        <v>1194</v>
      </c>
    </row>
    <row r="48" spans="1:6" ht="316.8">
      <c r="A48" s="279" t="str">
        <f>Milestone_4!K7</f>
        <v>Which emission reduction scenarios do you expect will deliver the most significant reductions for your organization? For each pillar, please indicate the expected impact level (High &gt;45%, Medium 16-44%, Low 0-15%) based on projected percentage of absolute emissions reduction ? (Select all that apply for each scenario)</v>
      </c>
      <c r="B48" s="280" t="s">
        <v>1195</v>
      </c>
    </row>
    <row r="49" spans="1:6" ht="39.6">
      <c r="A49" s="279" t="str">
        <f>Milestone_4!K19</f>
        <v>Which parameters do you anticipate will affect your selected emission reduction scenario to ensure successful energy roadmap planning and implementation?  (Select all that apply)</v>
      </c>
      <c r="B49" s="280"/>
    </row>
    <row r="50" spans="1:6" ht="100.05" customHeight="1">
      <c r="A50" s="278" t="s">
        <v>396</v>
      </c>
      <c r="E50" s="274" t="s">
        <v>1196</v>
      </c>
      <c r="F50" s="279" t="s">
        <v>1197</v>
      </c>
    </row>
    <row r="51" spans="1:6" ht="409.6">
      <c r="A51" s="553" t="str">
        <f>Milestone_4!K29</f>
        <v>Which business parameters are accounted for in your emission reduction scenario(s)? (Select all that apply)</v>
      </c>
      <c r="B51" s="557" t="s">
        <v>1230</v>
      </c>
    </row>
    <row r="52" spans="1:6" ht="137.55000000000001" customHeight="1">
      <c r="A52" s="278" t="s">
        <v>457</v>
      </c>
      <c r="B52" s="280"/>
      <c r="E52" s="274" t="s">
        <v>1198</v>
      </c>
      <c r="F52" s="279" t="s">
        <v>1199</v>
      </c>
    </row>
    <row r="53" spans="1:6" ht="343.2">
      <c r="A53" s="281" t="str">
        <f>Milestone_4!K43</f>
        <v>Which of the following data have you collected on your ERMs identified in facility- and portfolio-level assessments?  (Select all that apply)</v>
      </c>
      <c r="B53" s="280" t="s">
        <v>1200</v>
      </c>
    </row>
    <row r="54" spans="1:6" ht="237.45" customHeight="1">
      <c r="A54" s="278" t="s">
        <v>460</v>
      </c>
      <c r="B54" s="280"/>
      <c r="E54" s="274" t="s">
        <v>1201</v>
      </c>
      <c r="F54" s="279" t="s">
        <v>1202</v>
      </c>
    </row>
    <row r="55" spans="1:6" ht="330">
      <c r="A55" s="279" t="str">
        <f>Milestone_4!K59</f>
        <v>Which cost parameters do you include in sensitivity analysis when assessing your emission reduction scenarios for your ERP? (Select all that apply)</v>
      </c>
      <c r="B55" s="280" t="s">
        <v>458</v>
      </c>
    </row>
    <row r="56" spans="1:6" ht="409.6">
      <c r="A56" s="553" t="str">
        <f>Milestone_4!K68</f>
        <v>Which financial parameters do you include in your sensitivity analysis when evaluating your emission reduction scenarios for your ERP? (Select all that apply)</v>
      </c>
      <c r="B56" s="556" t="s">
        <v>1203</v>
      </c>
    </row>
    <row r="57" spans="1:6" ht="409.6">
      <c r="A57" s="279" t="str">
        <f>Milestone_4!K75</f>
        <v>Which other parameters do you include in sensitivity analyses when evaluating your emission reduction scenarios for your ERP? (Select all that apply)</v>
      </c>
      <c r="B57" s="280" t="s">
        <v>1205</v>
      </c>
    </row>
    <row r="58" spans="1:6" ht="87.45" customHeight="1">
      <c r="A58" s="278" t="s">
        <v>459</v>
      </c>
      <c r="B58" s="280"/>
      <c r="E58" s="274" t="s">
        <v>1204</v>
      </c>
      <c r="F58" s="279" t="s">
        <v>729</v>
      </c>
    </row>
    <row r="59" spans="1:6" ht="158.4">
      <c r="A59" s="279" t="str">
        <f>Milestone_4!K85</f>
        <v>Which statement best describes your evaluation of scenarios? (Select any one)</v>
      </c>
      <c r="B59" s="280" t="s">
        <v>1206</v>
      </c>
      <c r="C59" s="282"/>
      <c r="D59" s="282"/>
    </row>
    <row r="60" spans="1:6" ht="409.6">
      <c r="A60" s="553" t="str">
        <f>Milestone_4!K90</f>
        <v>Which of the following interactions between different emission reduction measures in your deployment schedule are considered in your scenarios? (Select all that apply)</v>
      </c>
      <c r="B60" s="555" t="s">
        <v>1231</v>
      </c>
      <c r="C60" s="282"/>
      <c r="D60" s="282"/>
    </row>
    <row r="61" spans="1:6" ht="124.95" customHeight="1">
      <c r="A61" s="278" t="s">
        <v>397</v>
      </c>
      <c r="B61" s="268"/>
      <c r="C61" s="290"/>
      <c r="D61" s="290"/>
      <c r="E61" s="274" t="s">
        <v>1207</v>
      </c>
      <c r="F61" s="279" t="s">
        <v>1208</v>
      </c>
    </row>
    <row r="62" spans="1:6" ht="62.55" customHeight="1">
      <c r="A62" s="279" t="str">
        <f>Milestone_5!K7</f>
        <v>Have you started initial implementation of plan and does it align with selected pathway?  (Select any one)</v>
      </c>
      <c r="B62" s="291" t="s">
        <v>1209</v>
      </c>
      <c r="C62" s="290"/>
      <c r="D62" s="290"/>
      <c r="E62" s="290"/>
    </row>
    <row r="63" spans="1:6" ht="12.45" customHeight="1">
      <c r="A63" s="292" t="str">
        <f>Milestone_5!K12</f>
        <v xml:space="preserve">Please describe your approach to project phasing and deployment timing for your emission reduction initiatives (Type in % reduction of set goal) &amp; (Choose year from dropdown list)  </v>
      </c>
      <c r="B63" s="292"/>
      <c r="C63" s="292"/>
      <c r="D63" s="292"/>
      <c r="E63" s="292"/>
    </row>
    <row r="64" spans="1:6" ht="199.95" customHeight="1">
      <c r="A64" s="278" t="s">
        <v>398</v>
      </c>
      <c r="B64" s="293"/>
      <c r="C64" s="290"/>
      <c r="D64" s="290"/>
      <c r="E64" s="274" t="s">
        <v>1211</v>
      </c>
      <c r="F64" s="279" t="s">
        <v>730</v>
      </c>
    </row>
    <row r="65" spans="1:6" ht="25.05" customHeight="1">
      <c r="A65" s="294" t="str">
        <f>Milestone_5!K26</f>
        <v>Select all the organizational policies that are being updates for developing an effective Emissions Reduction Plan? (Select all that apply)</v>
      </c>
      <c r="B65" s="294"/>
      <c r="C65" s="292"/>
      <c r="D65" s="292"/>
      <c r="E65" s="292"/>
    </row>
    <row r="66" spans="1:6" ht="409.6">
      <c r="A66" s="553" t="str">
        <f>Milestone_5!K34</f>
        <v>What are the governance best practices you have implemented that have significantly benefited your organization's ERP development process? (Select all that apply)</v>
      </c>
      <c r="B66" s="557" t="s">
        <v>1057</v>
      </c>
      <c r="C66" s="290"/>
      <c r="D66" s="290"/>
      <c r="E66" s="290"/>
    </row>
    <row r="67" spans="1:6" ht="225" customHeight="1">
      <c r="A67" s="553" t="str">
        <f>Milestone_5!K42</f>
        <v xml:space="preserve"> What are the operation and maintenance  best practices you have implemented that have significantly benefited your organization's ERP development process ? (Select all that apply)</v>
      </c>
      <c r="B67" s="557" t="s">
        <v>1058</v>
      </c>
      <c r="C67" s="290"/>
      <c r="D67" s="290"/>
      <c r="E67" s="290"/>
    </row>
    <row r="68" spans="1:6" ht="162.44999999999999" customHeight="1">
      <c r="A68" s="553" t="str">
        <f>Milestone_5!K51</f>
        <v xml:space="preserve">What are the best practices you have implemented for project evaluation that have significantly benefited your organization's ERP development process ? (Select all that apply) </v>
      </c>
      <c r="B68" s="554" t="s">
        <v>1073</v>
      </c>
      <c r="C68" s="290"/>
      <c r="D68" s="290"/>
      <c r="E68" s="290"/>
    </row>
    <row r="69" spans="1:6" ht="409.6">
      <c r="A69" s="553" t="str">
        <f>Milestone_5!K59</f>
        <v>What are the best practices you have implemented for training employees that have significantly benefited your organization's ERP development process ? (Select all that apply)</v>
      </c>
      <c r="B69" s="557" t="s">
        <v>1210</v>
      </c>
      <c r="C69" s="290"/>
      <c r="D69" s="290"/>
      <c r="E69" s="290"/>
    </row>
    <row r="70" spans="1:6" ht="403.2">
      <c r="A70" s="279" t="str">
        <f>Milestone_5!K66</f>
        <v>What are the best practices you have implemented for procurement practices that have significantly benefited your organization's ERP development process ? (Select all that apply)</v>
      </c>
      <c r="B70" s="556" t="s">
        <v>1232</v>
      </c>
      <c r="C70" s="290"/>
      <c r="D70" s="290"/>
      <c r="E70" s="290"/>
    </row>
    <row r="71" spans="1:6" ht="409.6">
      <c r="A71" s="553" t="str">
        <f>Milestone_5!K72</f>
        <v>What are the external financing best practices you have implemented that have significantly benefited your organization's ERP development process ? (Select all that apply)</v>
      </c>
      <c r="B71" s="555" t="s">
        <v>1212</v>
      </c>
      <c r="C71" s="290"/>
      <c r="D71" s="290"/>
      <c r="E71" s="290"/>
    </row>
    <row r="72" spans="1:6" ht="330">
      <c r="A72" s="279" t="str">
        <f>Milestone_5!K80</f>
        <v>What are the communication best practices you have implemented that have significantly benefited your organization's ERP development process ? (Select all that apply)</v>
      </c>
      <c r="B72" s="291" t="s">
        <v>1213</v>
      </c>
      <c r="C72" s="290"/>
      <c r="D72" s="290"/>
      <c r="E72" s="290"/>
    </row>
    <row r="73" spans="1:6" ht="158.4">
      <c r="A73" s="278" t="s">
        <v>399</v>
      </c>
      <c r="B73" s="268"/>
      <c r="C73" s="290"/>
      <c r="D73" s="290"/>
      <c r="E73" s="274" t="s">
        <v>497</v>
      </c>
      <c r="F73" s="279" t="s">
        <v>731</v>
      </c>
    </row>
    <row r="74" spans="1:6" ht="250.8">
      <c r="A74" s="279" t="str">
        <f>Milestone_5!K89</f>
        <v>Which financing mechanisms are being considered to fund ERMs?  (Select all that apply)</v>
      </c>
      <c r="B74" s="291" t="s">
        <v>1214</v>
      </c>
      <c r="C74" s="290"/>
      <c r="D74" s="290"/>
      <c r="E74" s="290"/>
    </row>
    <row r="75" spans="1:6" ht="343.2">
      <c r="A75" s="279" t="e">
        <f>Milestone_5!#REF!</f>
        <v>#REF!</v>
      </c>
      <c r="B75" s="291" t="s">
        <v>1215</v>
      </c>
      <c r="C75" s="290"/>
      <c r="D75" s="290"/>
      <c r="E75" s="290"/>
    </row>
    <row r="76" spans="1:6" ht="356.4">
      <c r="A76" s="279" t="str">
        <f>Milestone_5!K100</f>
        <v>When thinking about project deployment schedules, which of the following are considered?  (Select all that apply)</v>
      </c>
      <c r="B76" s="291" t="s">
        <v>1216</v>
      </c>
      <c r="C76" s="290"/>
      <c r="D76" s="290"/>
      <c r="E76" s="290"/>
    </row>
    <row r="77" spans="1:6" ht="132">
      <c r="A77" s="278" t="s">
        <v>400</v>
      </c>
      <c r="B77" s="268"/>
      <c r="C77" s="290"/>
      <c r="D77" s="290"/>
      <c r="E77" s="274" t="s">
        <v>498</v>
      </c>
      <c r="F77" s="279" t="s">
        <v>732</v>
      </c>
    </row>
    <row r="78" spans="1:6" ht="264">
      <c r="A78" s="279" t="str">
        <f>Milestone_5!K112</f>
        <v>How have you achieved stakeholder buy-in? (Select all that apply)</v>
      </c>
      <c r="B78" s="288" t="s">
        <v>1217</v>
      </c>
      <c r="C78" s="291" t="s">
        <v>1218</v>
      </c>
      <c r="D78" s="290"/>
      <c r="E78" s="290"/>
    </row>
    <row r="79" spans="1:6" ht="171.6">
      <c r="A79" s="279" t="str">
        <f>Milestone_5!K115</f>
        <v>How have you communicated your ERP to internal and external stakeholders?  (Select any one)</v>
      </c>
      <c r="B79" s="291" t="s">
        <v>1219</v>
      </c>
      <c r="C79" s="290"/>
      <c r="D79" s="290"/>
      <c r="E79" s="290"/>
    </row>
    <row r="80" spans="1:6" ht="132">
      <c r="A80" s="278" t="s">
        <v>401</v>
      </c>
      <c r="E80" s="274" t="s">
        <v>499</v>
      </c>
      <c r="F80" s="279" t="s">
        <v>733</v>
      </c>
    </row>
    <row r="81" spans="1:8" ht="37.5" customHeight="1">
      <c r="A81" s="279" t="str">
        <f>Ongoing_Implementation!K7</f>
        <v>Do you have budget and resources allocated for implementation of your ERP? (Select any one)</v>
      </c>
      <c r="B81" s="280" t="s">
        <v>517</v>
      </c>
      <c r="C81" s="282"/>
      <c r="D81" s="282"/>
    </row>
    <row r="82" spans="1:8" ht="37.5" customHeight="1">
      <c r="A82" s="279" t="str">
        <f>Ongoing_Implementation!K13</f>
        <v>Do you have set timelines for project implementation for your ERP? (Select any one)</v>
      </c>
      <c r="B82" s="280" t="s">
        <v>453</v>
      </c>
      <c r="C82" s="282"/>
      <c r="D82" s="282"/>
    </row>
    <row r="83" spans="1:8" ht="37.5" customHeight="1">
      <c r="A83" s="279" t="str">
        <f>Ongoing_Implementation!K20</f>
        <v>Have you identified potential challenges for during implementation of your ERMs? (Select any one)</v>
      </c>
      <c r="B83" s="280" t="s">
        <v>518</v>
      </c>
      <c r="C83" s="282"/>
      <c r="D83" s="282"/>
    </row>
    <row r="84" spans="1:8" ht="49.95" customHeight="1">
      <c r="A84" s="278" t="s">
        <v>402</v>
      </c>
      <c r="B84" s="280"/>
      <c r="E84" s="274" t="s">
        <v>500</v>
      </c>
      <c r="F84" s="279" t="s">
        <v>734</v>
      </c>
    </row>
    <row r="85" spans="1:8" ht="132">
      <c r="A85" s="279" t="str">
        <f>Ongoing_Implementation!K27</f>
        <v>How are you measuring and verifying emission reduction for ERMs? (Select any one)</v>
      </c>
      <c r="B85" s="280" t="s">
        <v>454</v>
      </c>
      <c r="C85" s="282"/>
      <c r="D85" s="282"/>
    </row>
    <row r="86" spans="1:8" ht="37.5" customHeight="1">
      <c r="A86" s="278" t="s">
        <v>403</v>
      </c>
      <c r="B86" s="280"/>
      <c r="E86" s="274" t="s">
        <v>501</v>
      </c>
      <c r="F86" s="279" t="s">
        <v>735</v>
      </c>
    </row>
    <row r="87" spans="1:8" ht="66">
      <c r="A87" s="279" t="str">
        <f>Ongoing_Implementation!K34</f>
        <v>How does your organization capture, document, and share key learnings from ERP projects implementation? (Select all that apply)</v>
      </c>
      <c r="B87" s="280" t="s">
        <v>455</v>
      </c>
      <c r="C87" s="282"/>
      <c r="D87" s="282"/>
    </row>
    <row r="88" spans="1:8" ht="49.95" customHeight="1">
      <c r="A88" s="278" t="s">
        <v>404</v>
      </c>
      <c r="B88" s="280"/>
      <c r="E88" s="274" t="s">
        <v>767</v>
      </c>
      <c r="F88" s="279" t="s">
        <v>736</v>
      </c>
    </row>
    <row r="89" spans="1:8" ht="145.19999999999999">
      <c r="A89" s="279" t="str">
        <f>Ongoing_Implementation!K42</f>
        <v>How frequently will you review and update your implementation plans? (Select any one)</v>
      </c>
      <c r="B89" s="280" t="s">
        <v>456</v>
      </c>
      <c r="C89" s="282"/>
      <c r="D89" s="282"/>
    </row>
    <row r="91" spans="1:8" ht="31.2">
      <c r="A91" s="403" t="s">
        <v>8</v>
      </c>
      <c r="E91" s="279" t="s">
        <v>738</v>
      </c>
      <c r="F91" s="279" t="s">
        <v>737</v>
      </c>
    </row>
    <row r="92" spans="1:8" ht="52.8">
      <c r="A92" s="402" t="s">
        <v>739</v>
      </c>
      <c r="E92" s="279" t="s">
        <v>768</v>
      </c>
      <c r="F92" s="279" t="s">
        <v>795</v>
      </c>
      <c r="H92" s="279" t="s">
        <v>740</v>
      </c>
    </row>
    <row r="93" spans="1:8" ht="52.8">
      <c r="A93" s="402" t="s">
        <v>741</v>
      </c>
      <c r="E93" s="279" t="s">
        <v>769</v>
      </c>
      <c r="F93" s="279" t="s">
        <v>796</v>
      </c>
      <c r="H93" s="279" t="s">
        <v>742</v>
      </c>
    </row>
    <row r="94" spans="1:8" ht="39.6">
      <c r="A94" s="402" t="s">
        <v>743</v>
      </c>
      <c r="E94" s="279" t="s">
        <v>770</v>
      </c>
      <c r="F94" s="279" t="s">
        <v>797</v>
      </c>
    </row>
    <row r="95" spans="1:8" ht="39.6">
      <c r="A95" s="402" t="s">
        <v>744</v>
      </c>
      <c r="E95" s="279" t="s">
        <v>771</v>
      </c>
      <c r="F95" s="279" t="s">
        <v>798</v>
      </c>
    </row>
    <row r="96" spans="1:8" ht="15.6">
      <c r="A96" s="403" t="s">
        <v>43</v>
      </c>
    </row>
    <row r="97" spans="1:6" ht="39.6">
      <c r="A97" s="402" t="s">
        <v>745</v>
      </c>
      <c r="E97" s="279" t="s">
        <v>772</v>
      </c>
      <c r="F97" s="279" t="s">
        <v>799</v>
      </c>
    </row>
    <row r="98" spans="1:6" ht="39.6">
      <c r="A98" s="402" t="s">
        <v>746</v>
      </c>
      <c r="E98" s="279" t="s">
        <v>773</v>
      </c>
      <c r="F98" s="279" t="s">
        <v>800</v>
      </c>
    </row>
    <row r="99" spans="1:6" ht="52.8">
      <c r="A99" s="402" t="s">
        <v>747</v>
      </c>
      <c r="E99" s="279" t="s">
        <v>774</v>
      </c>
      <c r="F99" s="279" t="s">
        <v>801</v>
      </c>
    </row>
    <row r="100" spans="1:6">
      <c r="A100" s="402" t="s">
        <v>748</v>
      </c>
    </row>
    <row r="101" spans="1:6" ht="15.6">
      <c r="A101" s="403" t="s">
        <v>749</v>
      </c>
    </row>
    <row r="102" spans="1:6" ht="145.19999999999999">
      <c r="A102" s="402" t="s">
        <v>750</v>
      </c>
      <c r="E102" s="279" t="s">
        <v>1220</v>
      </c>
      <c r="F102" s="279" t="s">
        <v>1221</v>
      </c>
    </row>
    <row r="103" spans="1:6" ht="145.19999999999999">
      <c r="A103" s="402" t="s">
        <v>697</v>
      </c>
      <c r="E103" s="279" t="s">
        <v>775</v>
      </c>
      <c r="F103" s="279" t="s">
        <v>785</v>
      </c>
    </row>
    <row r="104" spans="1:6" ht="17.399999999999999">
      <c r="A104" s="404" t="s">
        <v>751</v>
      </c>
    </row>
    <row r="105" spans="1:6" ht="52.8">
      <c r="A105" s="402" t="s">
        <v>752</v>
      </c>
      <c r="E105" s="279" t="s">
        <v>776</v>
      </c>
      <c r="F105" s="279" t="s">
        <v>1222</v>
      </c>
    </row>
    <row r="106" spans="1:6" ht="39.6">
      <c r="A106" s="402" t="s">
        <v>753</v>
      </c>
      <c r="E106" s="279" t="s">
        <v>777</v>
      </c>
      <c r="F106" s="279" t="s">
        <v>786</v>
      </c>
    </row>
    <row r="107" spans="1:6">
      <c r="A107" s="402" t="s">
        <v>754</v>
      </c>
    </row>
    <row r="108" spans="1:6" ht="92.4">
      <c r="A108" s="402" t="s">
        <v>755</v>
      </c>
      <c r="E108" s="279" t="s">
        <v>1223</v>
      </c>
      <c r="F108" s="279" t="s">
        <v>1189</v>
      </c>
    </row>
    <row r="109" spans="1:6">
      <c r="A109" s="402" t="s">
        <v>756</v>
      </c>
      <c r="E109" s="279" t="s">
        <v>620</v>
      </c>
    </row>
    <row r="110" spans="1:6" ht="17.399999999999999">
      <c r="A110" s="404" t="s">
        <v>257</v>
      </c>
    </row>
    <row r="111" spans="1:6" ht="39.6">
      <c r="A111" s="402" t="s">
        <v>757</v>
      </c>
      <c r="E111" s="279" t="s">
        <v>778</v>
      </c>
      <c r="F111" s="279" t="s">
        <v>787</v>
      </c>
    </row>
    <row r="112" spans="1:6" ht="66">
      <c r="A112" s="402" t="s">
        <v>758</v>
      </c>
      <c r="E112" s="279" t="s">
        <v>779</v>
      </c>
      <c r="F112" s="279" t="s">
        <v>788</v>
      </c>
    </row>
    <row r="113" spans="1:6" ht="66">
      <c r="A113" s="402" t="s">
        <v>759</v>
      </c>
      <c r="E113" s="279" t="s">
        <v>780</v>
      </c>
      <c r="F113" s="279" t="s">
        <v>789</v>
      </c>
    </row>
    <row r="114" spans="1:6" ht="26.4">
      <c r="A114" s="402" t="s">
        <v>760</v>
      </c>
      <c r="E114" s="279" t="s">
        <v>1188</v>
      </c>
      <c r="F114" s="279" t="s">
        <v>790</v>
      </c>
    </row>
    <row r="115" spans="1:6" ht="17.399999999999999">
      <c r="A115" s="404" t="s">
        <v>765</v>
      </c>
    </row>
    <row r="116" spans="1:6" ht="39.6">
      <c r="A116" s="402" t="s">
        <v>761</v>
      </c>
      <c r="E116" s="279" t="s">
        <v>781</v>
      </c>
      <c r="F116" s="279" t="s">
        <v>791</v>
      </c>
    </row>
    <row r="117" spans="1:6" ht="52.8">
      <c r="A117" s="402" t="s">
        <v>762</v>
      </c>
      <c r="E117" s="279" t="s">
        <v>782</v>
      </c>
      <c r="F117" s="279" t="s">
        <v>792</v>
      </c>
    </row>
    <row r="118" spans="1:6" ht="39.6">
      <c r="A118" s="402" t="s">
        <v>763</v>
      </c>
      <c r="E118" s="279" t="s">
        <v>783</v>
      </c>
      <c r="F118" s="279" t="s">
        <v>793</v>
      </c>
    </row>
    <row r="119" spans="1:6" ht="52.8">
      <c r="A119" s="402" t="s">
        <v>764</v>
      </c>
      <c r="E119" s="279" t="s">
        <v>784</v>
      </c>
      <c r="F119" s="279" t="s">
        <v>794</v>
      </c>
    </row>
  </sheetData>
  <autoFilter ref="A1:E89" xr:uid="{71B6D628-FE20-438F-BBEA-031C48ACCEB5}"/>
  <sortState xmlns:xlrd2="http://schemas.microsoft.com/office/spreadsheetml/2017/richdata2" ref="A2:E89">
    <sortCondition sortBy="cellColor" ref="A2:A89"/>
  </sortState>
  <mergeCells count="1">
    <mergeCell ref="E1:F1"/>
  </mergeCells>
  <hyperlinks>
    <hyperlink ref="D6" r:id="rId1" display="https://ghgprotocol.org/corporate-standard" xr:uid="{91FC5856-A4E1-4DBC-BE75-33CEDE35C028}"/>
    <hyperlink ref="D7" r:id="rId2" xr:uid="{FFB465E7-1C4F-4ABF-B284-DBE95C71EF20}"/>
    <hyperlink ref="D12" r:id="rId3" xr:uid="{11632C1B-6B10-4DA9-BE2B-8810A104A7D4}"/>
    <hyperlink ref="D11" r:id="rId4" xr:uid="{39A7E935-2D2D-403A-93F9-6C5D91C710DE}"/>
  </hyperlinks>
  <pageMargins left="0.7" right="0.7" top="0.75" bottom="0.75" header="0.3" footer="0.3"/>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48D8-677A-4D75-9D24-1298F3C079AE}">
  <sheetPr codeName="Sheet2"/>
  <dimension ref="B2:G99"/>
  <sheetViews>
    <sheetView topLeftCell="A36" workbookViewId="0">
      <selection activeCell="D77" sqref="D77"/>
    </sheetView>
  </sheetViews>
  <sheetFormatPr defaultColWidth="8.77734375" defaultRowHeight="15"/>
  <cols>
    <col min="1" max="1" width="5" style="18" customWidth="1"/>
    <col min="2" max="2" width="84.21875" style="18" customWidth="1"/>
    <col min="3" max="3" width="24.6640625" style="18" bestFit="1" customWidth="1"/>
    <col min="4" max="4" width="42.21875" style="18" bestFit="1" customWidth="1"/>
    <col min="5" max="5" width="26.5546875" style="18" bestFit="1" customWidth="1"/>
    <col min="6" max="6" width="25.88671875" style="18" bestFit="1" customWidth="1"/>
    <col min="7" max="7" width="22" style="18" bestFit="1" customWidth="1"/>
    <col min="8" max="8" width="27.77734375" style="18" bestFit="1" customWidth="1"/>
    <col min="9" max="9" width="8.77734375" style="18"/>
    <col min="10" max="10" width="33.21875" style="18" bestFit="1" customWidth="1"/>
    <col min="11" max="11" width="8.77734375" style="18"/>
    <col min="12" max="12" width="41.21875" style="18" bestFit="1" customWidth="1"/>
    <col min="13" max="16384" width="8.77734375" style="18"/>
  </cols>
  <sheetData>
    <row r="2" spans="2:4" ht="15.6">
      <c r="B2" s="29" t="s">
        <v>58</v>
      </c>
    </row>
    <row r="3" spans="2:4" ht="30.6">
      <c r="B3" s="11" t="s">
        <v>319</v>
      </c>
      <c r="D3" s="25"/>
    </row>
    <row r="4" spans="2:4" ht="15.6">
      <c r="B4" s="11" t="s">
        <v>320</v>
      </c>
    </row>
    <row r="5" spans="2:4" ht="30.6">
      <c r="B5" s="11" t="s">
        <v>321</v>
      </c>
    </row>
    <row r="6" spans="2:4" ht="30.6">
      <c r="B6" s="11" t="s">
        <v>322</v>
      </c>
    </row>
    <row r="7" spans="2:4" ht="45.6">
      <c r="B7" s="11" t="s">
        <v>323</v>
      </c>
    </row>
    <row r="8" spans="2:4" ht="30.6">
      <c r="B8" s="11" t="s">
        <v>324</v>
      </c>
    </row>
    <row r="9" spans="2:4" ht="30.6">
      <c r="B9" s="11" t="s">
        <v>325</v>
      </c>
    </row>
    <row r="10" spans="2:4" ht="15.6">
      <c r="B10" s="89" t="s">
        <v>163</v>
      </c>
    </row>
    <row r="11" spans="2:4" ht="15.6">
      <c r="B11" s="29"/>
    </row>
    <row r="12" spans="2:4" ht="15.6">
      <c r="B12" s="29" t="s">
        <v>59</v>
      </c>
    </row>
    <row r="13" spans="2:4">
      <c r="B13" s="11" t="s">
        <v>0</v>
      </c>
    </row>
    <row r="14" spans="2:4">
      <c r="B14" s="11" t="s">
        <v>3</v>
      </c>
    </row>
    <row r="15" spans="2:4">
      <c r="B15" s="11" t="s">
        <v>4</v>
      </c>
    </row>
    <row r="16" spans="2:4">
      <c r="B16" s="11" t="s">
        <v>5</v>
      </c>
    </row>
    <row r="17" spans="2:3">
      <c r="B17" s="11" t="s">
        <v>6</v>
      </c>
    </row>
    <row r="19" spans="2:3" ht="15.6">
      <c r="B19" s="29" t="s">
        <v>83</v>
      </c>
      <c r="C19" s="29" t="s">
        <v>84</v>
      </c>
    </row>
    <row r="20" spans="2:3">
      <c r="B20" s="18" t="s">
        <v>85</v>
      </c>
      <c r="C20" s="18" t="s">
        <v>86</v>
      </c>
    </row>
    <row r="21" spans="2:3">
      <c r="B21" s="18" t="s">
        <v>87</v>
      </c>
      <c r="C21" s="18" t="s">
        <v>88</v>
      </c>
    </row>
    <row r="22" spans="2:3">
      <c r="B22" s="18" t="s">
        <v>89</v>
      </c>
      <c r="C22" s="18" t="s">
        <v>90</v>
      </c>
    </row>
    <row r="23" spans="2:3">
      <c r="B23" s="18" t="s">
        <v>91</v>
      </c>
      <c r="C23" s="18" t="s">
        <v>92</v>
      </c>
    </row>
    <row r="24" spans="2:3">
      <c r="B24" s="18" t="s">
        <v>93</v>
      </c>
      <c r="C24" s="18" t="s">
        <v>94</v>
      </c>
    </row>
    <row r="25" spans="2:3">
      <c r="B25" s="18" t="s">
        <v>95</v>
      </c>
      <c r="C25" s="18" t="s">
        <v>96</v>
      </c>
    </row>
    <row r="26" spans="2:3">
      <c r="B26" s="18" t="s">
        <v>97</v>
      </c>
      <c r="C26" s="18" t="s">
        <v>98</v>
      </c>
    </row>
    <row r="27" spans="2:3">
      <c r="B27" s="18" t="s">
        <v>99</v>
      </c>
      <c r="C27" s="18" t="s">
        <v>100</v>
      </c>
    </row>
    <row r="28" spans="2:3">
      <c r="B28" s="18" t="s">
        <v>101</v>
      </c>
      <c r="C28" s="18" t="s">
        <v>102</v>
      </c>
    </row>
    <row r="29" spans="2:3">
      <c r="B29" s="18" t="s">
        <v>103</v>
      </c>
      <c r="C29" s="18" t="s">
        <v>104</v>
      </c>
    </row>
    <row r="30" spans="2:3">
      <c r="B30" s="18" t="s">
        <v>105</v>
      </c>
      <c r="C30" s="18" t="s">
        <v>106</v>
      </c>
    </row>
    <row r="31" spans="2:3">
      <c r="B31" s="18" t="s">
        <v>107</v>
      </c>
      <c r="C31" s="18" t="s">
        <v>108</v>
      </c>
    </row>
    <row r="32" spans="2:3">
      <c r="B32" s="18" t="s">
        <v>109</v>
      </c>
      <c r="C32" s="18" t="s">
        <v>110</v>
      </c>
    </row>
    <row r="33" spans="2:3">
      <c r="B33" s="18" t="s">
        <v>111</v>
      </c>
      <c r="C33" s="18" t="s">
        <v>112</v>
      </c>
    </row>
    <row r="34" spans="2:3">
      <c r="B34" s="18" t="s">
        <v>113</v>
      </c>
      <c r="C34" s="18" t="s">
        <v>114</v>
      </c>
    </row>
    <row r="35" spans="2:3">
      <c r="B35" s="18" t="s">
        <v>115</v>
      </c>
      <c r="C35" s="18" t="s">
        <v>116</v>
      </c>
    </row>
    <row r="36" spans="2:3">
      <c r="B36" s="18" t="s">
        <v>117</v>
      </c>
      <c r="C36" s="18" t="s">
        <v>118</v>
      </c>
    </row>
    <row r="37" spans="2:3">
      <c r="B37" s="18" t="s">
        <v>119</v>
      </c>
      <c r="C37" s="18" t="s">
        <v>120</v>
      </c>
    </row>
    <row r="38" spans="2:3">
      <c r="B38" s="18" t="s">
        <v>121</v>
      </c>
      <c r="C38" s="18" t="s">
        <v>122</v>
      </c>
    </row>
    <row r="39" spans="2:3">
      <c r="B39" s="18" t="s">
        <v>123</v>
      </c>
      <c r="C39" s="18" t="s">
        <v>124</v>
      </c>
    </row>
    <row r="40" spans="2:3">
      <c r="B40" s="18" t="s">
        <v>125</v>
      </c>
      <c r="C40" s="18" t="s">
        <v>126</v>
      </c>
    </row>
    <row r="41" spans="2:3">
      <c r="B41" s="18" t="s">
        <v>127</v>
      </c>
      <c r="C41" s="18" t="s">
        <v>128</v>
      </c>
    </row>
    <row r="42" spans="2:3">
      <c r="B42" s="18" t="s">
        <v>129</v>
      </c>
      <c r="C42" s="18" t="s">
        <v>130</v>
      </c>
    </row>
    <row r="43" spans="2:3">
      <c r="B43" s="18" t="s">
        <v>131</v>
      </c>
      <c r="C43" s="18" t="s">
        <v>132</v>
      </c>
    </row>
    <row r="44" spans="2:3">
      <c r="B44" s="18" t="s">
        <v>133</v>
      </c>
      <c r="C44" s="18" t="s">
        <v>134</v>
      </c>
    </row>
    <row r="45" spans="2:3">
      <c r="B45" s="18" t="s">
        <v>135</v>
      </c>
      <c r="C45" s="18" t="s">
        <v>136</v>
      </c>
    </row>
    <row r="46" spans="2:3">
      <c r="B46" s="18" t="s">
        <v>137</v>
      </c>
      <c r="C46" s="18" t="s">
        <v>138</v>
      </c>
    </row>
    <row r="47" spans="2:3">
      <c r="B47" s="18" t="s">
        <v>139</v>
      </c>
      <c r="C47" s="18" t="s">
        <v>140</v>
      </c>
    </row>
    <row r="48" spans="2:3">
      <c r="B48" s="18" t="s">
        <v>141</v>
      </c>
      <c r="C48" s="18" t="s">
        <v>142</v>
      </c>
    </row>
    <row r="49" spans="2:7">
      <c r="B49" s="18" t="s">
        <v>143</v>
      </c>
      <c r="C49" s="18" t="s">
        <v>144</v>
      </c>
    </row>
    <row r="50" spans="2:7">
      <c r="B50" s="18" t="s">
        <v>145</v>
      </c>
      <c r="C50" s="18" t="s">
        <v>146</v>
      </c>
    </row>
    <row r="51" spans="2:7">
      <c r="B51" s="18" t="s">
        <v>147</v>
      </c>
      <c r="C51" s="18" t="s">
        <v>148</v>
      </c>
    </row>
    <row r="52" spans="2:7">
      <c r="B52" s="18" t="s">
        <v>149</v>
      </c>
      <c r="C52" s="18" t="s">
        <v>150</v>
      </c>
    </row>
    <row r="53" spans="2:7">
      <c r="B53" s="18" t="s">
        <v>151</v>
      </c>
      <c r="C53" s="18" t="s">
        <v>152</v>
      </c>
    </row>
    <row r="54" spans="2:7">
      <c r="B54" s="18" t="s">
        <v>153</v>
      </c>
      <c r="C54" s="18" t="s">
        <v>154</v>
      </c>
    </row>
    <row r="55" spans="2:7">
      <c r="B55" s="18" t="s">
        <v>155</v>
      </c>
      <c r="C55" s="18" t="s">
        <v>156</v>
      </c>
    </row>
    <row r="56" spans="2:7">
      <c r="B56" s="18" t="s">
        <v>157</v>
      </c>
      <c r="C56" s="18" t="s">
        <v>158</v>
      </c>
    </row>
    <row r="57" spans="2:7">
      <c r="B57" s="18" t="s">
        <v>159</v>
      </c>
      <c r="C57" s="18" t="s">
        <v>160</v>
      </c>
    </row>
    <row r="58" spans="2:7">
      <c r="B58" s="18" t="s">
        <v>161</v>
      </c>
      <c r="C58" s="18" t="s">
        <v>162</v>
      </c>
    </row>
    <row r="60" spans="2:7">
      <c r="B60" s="88" t="s">
        <v>254</v>
      </c>
      <c r="C60" s="88" t="s">
        <v>255</v>
      </c>
      <c r="D60" s="18" t="s">
        <v>618</v>
      </c>
      <c r="E60" s="18" t="s">
        <v>619</v>
      </c>
    </row>
    <row r="61" spans="2:7">
      <c r="B61" s="18" t="s">
        <v>352</v>
      </c>
      <c r="C61" s="18" t="s">
        <v>352</v>
      </c>
      <c r="D61" s="18" t="str" cm="1">
        <f t="array" aca="1" ref="D61:D98" ca="1">_xlfn.LET(
    _xlpm.startMatch, MATCH(Milestone_1!$AM$97, DropdownORNamemanagerLists!$B$62:$B$99, 0),
    _xlpm.endMatch, MATCH(Milestone_1!$AO$97-1, DropdownORNamemanagerLists!$B$62:$B$99, 1),
    _xlpm.yearList, OFFSET(DropdownORNamemanagerLists!$B$62, _xlpm.startMatch-1, 0, _xlpm.endMatch-_xlpm.startMatch+1, 1),
    _xlfn.VSTACK({"Not under consideration"}, _xlpm.yearList)
)</f>
        <v>Not under consideration</v>
      </c>
      <c r="E61" s="18" t="str" cm="1">
        <f t="array" aca="1" ref="E61:E98" ca="1">_xlfn.LET(
    _xlpm.startMatch, MATCH(Milestone_1!$AM$97+1, DropdownORNamemanagerLists!$C$62:$C$99, 0),
    _xlpm.endMatch, MATCH(Milestone_1!$AO$97, DropdownORNamemanagerLists!$C$62:$C$99, 1),
    _xlpm.yearList, OFFSET(DropdownORNamemanagerLists!$C$62, _xlpm.startMatch-1, 0, _xlpm.endMatch-_xlpm.startMatch+1, 1),
    _xlfn.VSTACK({"Not under consideration"}, _xlpm.yearList)
)</f>
        <v>Not under consideration</v>
      </c>
    </row>
    <row r="62" spans="2:7">
      <c r="B62" s="18">
        <v>2012</v>
      </c>
      <c r="C62" s="18">
        <v>2013</v>
      </c>
      <c r="D62" s="18">
        <f ca="1"/>
        <v>2013</v>
      </c>
      <c r="E62" s="18">
        <f ca="1"/>
        <v>2014</v>
      </c>
      <c r="G62" s="18" t="s">
        <v>620</v>
      </c>
    </row>
    <row r="63" spans="2:7">
      <c r="B63" s="18">
        <v>2013</v>
      </c>
      <c r="C63" s="18">
        <v>2014</v>
      </c>
      <c r="D63" s="18">
        <f ca="1"/>
        <v>2014</v>
      </c>
      <c r="E63" s="18">
        <f ca="1"/>
        <v>2015</v>
      </c>
    </row>
    <row r="64" spans="2:7">
      <c r="B64" s="18">
        <v>2014</v>
      </c>
      <c r="C64" s="18">
        <v>2015</v>
      </c>
      <c r="D64" s="18">
        <f ca="1"/>
        <v>2015</v>
      </c>
      <c r="E64" s="18">
        <f ca="1"/>
        <v>2016</v>
      </c>
    </row>
    <row r="65" spans="2:5">
      <c r="B65" s="18">
        <v>2015</v>
      </c>
      <c r="C65" s="18">
        <v>2016</v>
      </c>
      <c r="D65" s="18">
        <f ca="1"/>
        <v>2016</v>
      </c>
      <c r="E65" s="18">
        <f ca="1"/>
        <v>2017</v>
      </c>
    </row>
    <row r="66" spans="2:5">
      <c r="B66" s="18">
        <v>2016</v>
      </c>
      <c r="C66" s="18">
        <v>2017</v>
      </c>
      <c r="D66" s="18">
        <f ca="1"/>
        <v>2017</v>
      </c>
      <c r="E66" s="18">
        <f ca="1"/>
        <v>2018</v>
      </c>
    </row>
    <row r="67" spans="2:5">
      <c r="B67" s="18">
        <v>2017</v>
      </c>
      <c r="C67" s="18">
        <v>2018</v>
      </c>
      <c r="D67" s="18">
        <f ca="1"/>
        <v>2018</v>
      </c>
      <c r="E67" s="18">
        <f ca="1"/>
        <v>2019</v>
      </c>
    </row>
    <row r="68" spans="2:5">
      <c r="B68" s="18">
        <v>2018</v>
      </c>
      <c r="C68" s="18">
        <v>2019</v>
      </c>
      <c r="D68" s="18">
        <f ca="1"/>
        <v>2019</v>
      </c>
      <c r="E68" s="18">
        <f ca="1"/>
        <v>2020</v>
      </c>
    </row>
    <row r="69" spans="2:5">
      <c r="B69" s="18">
        <v>2019</v>
      </c>
      <c r="C69" s="18">
        <v>2020</v>
      </c>
      <c r="D69" s="18">
        <f ca="1"/>
        <v>2020</v>
      </c>
      <c r="E69" s="18">
        <f ca="1"/>
        <v>2021</v>
      </c>
    </row>
    <row r="70" spans="2:5">
      <c r="B70" s="18">
        <v>2020</v>
      </c>
      <c r="C70" s="18">
        <v>2021</v>
      </c>
      <c r="D70" s="18">
        <f ca="1"/>
        <v>2021</v>
      </c>
      <c r="E70" s="18">
        <f ca="1"/>
        <v>2022</v>
      </c>
    </row>
    <row r="71" spans="2:5">
      <c r="B71" s="18">
        <v>2021</v>
      </c>
      <c r="C71" s="18">
        <v>2022</v>
      </c>
      <c r="D71" s="18">
        <f ca="1"/>
        <v>2022</v>
      </c>
      <c r="E71" s="18">
        <f ca="1"/>
        <v>2023</v>
      </c>
    </row>
    <row r="72" spans="2:5">
      <c r="B72" s="18">
        <v>2022</v>
      </c>
      <c r="C72" s="18">
        <v>2023</v>
      </c>
      <c r="D72" s="18">
        <f ca="1"/>
        <v>2023</v>
      </c>
      <c r="E72" s="18">
        <f ca="1"/>
        <v>2024</v>
      </c>
    </row>
    <row r="73" spans="2:5">
      <c r="B73" s="18">
        <v>2023</v>
      </c>
      <c r="C73" s="18">
        <v>2024</v>
      </c>
      <c r="D73" s="18">
        <f ca="1"/>
        <v>2024</v>
      </c>
      <c r="E73" s="18">
        <f ca="1"/>
        <v>2025</v>
      </c>
    </row>
    <row r="74" spans="2:5">
      <c r="B74" s="18">
        <v>2024</v>
      </c>
      <c r="C74" s="18">
        <v>2025</v>
      </c>
      <c r="D74" s="18">
        <f ca="1"/>
        <v>2025</v>
      </c>
      <c r="E74" s="18">
        <f ca="1"/>
        <v>2026</v>
      </c>
    </row>
    <row r="75" spans="2:5">
      <c r="B75" s="18">
        <v>2025</v>
      </c>
      <c r="C75" s="18">
        <v>2026</v>
      </c>
      <c r="D75" s="18">
        <f ca="1"/>
        <v>2026</v>
      </c>
      <c r="E75" s="18">
        <f ca="1"/>
        <v>2027</v>
      </c>
    </row>
    <row r="76" spans="2:5">
      <c r="B76" s="18">
        <v>2026</v>
      </c>
      <c r="C76" s="18">
        <v>2027</v>
      </c>
      <c r="D76" s="18">
        <f ca="1"/>
        <v>2027</v>
      </c>
      <c r="E76" s="18">
        <f ca="1"/>
        <v>2028</v>
      </c>
    </row>
    <row r="77" spans="2:5">
      <c r="B77" s="18">
        <v>2027</v>
      </c>
      <c r="C77" s="18">
        <v>2028</v>
      </c>
      <c r="D77" s="18">
        <f ca="1"/>
        <v>2028</v>
      </c>
      <c r="E77" s="18">
        <f ca="1"/>
        <v>2029</v>
      </c>
    </row>
    <row r="78" spans="2:5">
      <c r="B78" s="18">
        <v>2028</v>
      </c>
      <c r="C78" s="18">
        <v>2029</v>
      </c>
      <c r="D78" s="18">
        <f ca="1"/>
        <v>2029</v>
      </c>
      <c r="E78" s="18">
        <f ca="1"/>
        <v>2030</v>
      </c>
    </row>
    <row r="79" spans="2:5">
      <c r="B79" s="18">
        <v>2029</v>
      </c>
      <c r="C79" s="18">
        <v>2030</v>
      </c>
      <c r="D79" s="18">
        <f ca="1"/>
        <v>2030</v>
      </c>
      <c r="E79" s="18">
        <f ca="1"/>
        <v>2031</v>
      </c>
    </row>
    <row r="80" spans="2:5">
      <c r="B80" s="18">
        <v>2030</v>
      </c>
      <c r="C80" s="18">
        <v>2031</v>
      </c>
      <c r="D80" s="18">
        <f ca="1"/>
        <v>2031</v>
      </c>
      <c r="E80" s="18">
        <f ca="1"/>
        <v>2032</v>
      </c>
    </row>
    <row r="81" spans="2:5">
      <c r="B81" s="18">
        <v>2031</v>
      </c>
      <c r="C81" s="18">
        <v>2032</v>
      </c>
      <c r="D81" s="18">
        <f ca="1"/>
        <v>2032</v>
      </c>
      <c r="E81" s="18">
        <f ca="1"/>
        <v>2033</v>
      </c>
    </row>
    <row r="82" spans="2:5">
      <c r="B82" s="18">
        <v>2032</v>
      </c>
      <c r="C82" s="18">
        <v>2033</v>
      </c>
      <c r="D82" s="18">
        <f ca="1"/>
        <v>2033</v>
      </c>
      <c r="E82" s="18">
        <f ca="1"/>
        <v>2034</v>
      </c>
    </row>
    <row r="83" spans="2:5">
      <c r="B83" s="18">
        <v>2033</v>
      </c>
      <c r="C83" s="18">
        <v>2034</v>
      </c>
      <c r="D83" s="18">
        <f ca="1"/>
        <v>2034</v>
      </c>
      <c r="E83" s="18">
        <f ca="1"/>
        <v>2035</v>
      </c>
    </row>
    <row r="84" spans="2:5">
      <c r="B84" s="18">
        <v>2034</v>
      </c>
      <c r="C84" s="18">
        <v>2035</v>
      </c>
      <c r="D84" s="18">
        <f ca="1"/>
        <v>2035</v>
      </c>
      <c r="E84" s="18">
        <f ca="1"/>
        <v>2036</v>
      </c>
    </row>
    <row r="85" spans="2:5">
      <c r="B85" s="18">
        <v>2035</v>
      </c>
      <c r="C85" s="18">
        <v>2036</v>
      </c>
      <c r="D85" s="18">
        <f ca="1"/>
        <v>2036</v>
      </c>
      <c r="E85" s="18">
        <f ca="1"/>
        <v>2037</v>
      </c>
    </row>
    <row r="86" spans="2:5">
      <c r="B86" s="18">
        <v>2036</v>
      </c>
      <c r="C86" s="18">
        <v>2037</v>
      </c>
      <c r="D86" s="18">
        <f ca="1"/>
        <v>2037</v>
      </c>
      <c r="E86" s="18">
        <f ca="1"/>
        <v>2038</v>
      </c>
    </row>
    <row r="87" spans="2:5">
      <c r="B87" s="18">
        <v>2037</v>
      </c>
      <c r="C87" s="18">
        <v>2038</v>
      </c>
      <c r="D87" s="18">
        <f ca="1"/>
        <v>2038</v>
      </c>
      <c r="E87" s="18">
        <f ca="1"/>
        <v>2039</v>
      </c>
    </row>
    <row r="88" spans="2:5">
      <c r="B88" s="18">
        <v>2038</v>
      </c>
      <c r="C88" s="18">
        <v>2039</v>
      </c>
      <c r="D88" s="18">
        <f ca="1"/>
        <v>2039</v>
      </c>
      <c r="E88" s="18">
        <f ca="1"/>
        <v>2040</v>
      </c>
    </row>
    <row r="89" spans="2:5">
      <c r="B89" s="18">
        <v>2039</v>
      </c>
      <c r="C89" s="18">
        <v>2040</v>
      </c>
      <c r="D89" s="18">
        <f ca="1"/>
        <v>2040</v>
      </c>
      <c r="E89" s="18">
        <f ca="1"/>
        <v>2041</v>
      </c>
    </row>
    <row r="90" spans="2:5">
      <c r="B90" s="18">
        <v>2040</v>
      </c>
      <c r="C90" s="18">
        <v>2041</v>
      </c>
      <c r="D90" s="18">
        <f ca="1"/>
        <v>2041</v>
      </c>
      <c r="E90" s="18">
        <f ca="1"/>
        <v>2042</v>
      </c>
    </row>
    <row r="91" spans="2:5">
      <c r="B91" s="18">
        <v>2041</v>
      </c>
      <c r="C91" s="18">
        <v>2042</v>
      </c>
      <c r="D91" s="18">
        <f ca="1"/>
        <v>2042</v>
      </c>
      <c r="E91" s="18">
        <f ca="1"/>
        <v>2043</v>
      </c>
    </row>
    <row r="92" spans="2:5">
      <c r="B92" s="18">
        <v>2042</v>
      </c>
      <c r="C92" s="18">
        <v>2043</v>
      </c>
      <c r="D92" s="18">
        <f ca="1"/>
        <v>2043</v>
      </c>
      <c r="E92" s="18">
        <f ca="1"/>
        <v>2044</v>
      </c>
    </row>
    <row r="93" spans="2:5">
      <c r="B93" s="18">
        <v>2043</v>
      </c>
      <c r="C93" s="18">
        <v>2044</v>
      </c>
      <c r="D93" s="18">
        <f ca="1"/>
        <v>2044</v>
      </c>
      <c r="E93" s="18">
        <f ca="1"/>
        <v>2045</v>
      </c>
    </row>
    <row r="94" spans="2:5">
      <c r="B94" s="18">
        <v>2044</v>
      </c>
      <c r="C94" s="18">
        <v>2045</v>
      </c>
      <c r="D94" s="18">
        <f ca="1"/>
        <v>2045</v>
      </c>
      <c r="E94" s="18">
        <f ca="1"/>
        <v>2046</v>
      </c>
    </row>
    <row r="95" spans="2:5">
      <c r="B95" s="18">
        <v>2045</v>
      </c>
      <c r="C95" s="18">
        <v>2046</v>
      </c>
      <c r="D95" s="18">
        <f ca="1"/>
        <v>2046</v>
      </c>
      <c r="E95" s="18">
        <f ca="1"/>
        <v>2047</v>
      </c>
    </row>
    <row r="96" spans="2:5">
      <c r="B96" s="18">
        <v>2046</v>
      </c>
      <c r="C96" s="18">
        <v>2047</v>
      </c>
      <c r="D96" s="18">
        <f ca="1"/>
        <v>2047</v>
      </c>
      <c r="E96" s="18">
        <f ca="1"/>
        <v>2048</v>
      </c>
    </row>
    <row r="97" spans="2:5">
      <c r="B97" s="18">
        <v>2047</v>
      </c>
      <c r="C97" s="18">
        <v>2048</v>
      </c>
      <c r="D97" s="18">
        <f ca="1"/>
        <v>2048</v>
      </c>
      <c r="E97" s="18">
        <f ca="1"/>
        <v>2049</v>
      </c>
    </row>
    <row r="98" spans="2:5">
      <c r="B98" s="18">
        <v>2048</v>
      </c>
      <c r="C98" s="18">
        <v>2049</v>
      </c>
      <c r="D98" s="18">
        <f ca="1"/>
        <v>2049</v>
      </c>
      <c r="E98" s="18">
        <f ca="1"/>
        <v>2050</v>
      </c>
    </row>
    <row r="99" spans="2:5">
      <c r="B99" s="18">
        <v>2049</v>
      </c>
      <c r="C99" s="18">
        <v>2050</v>
      </c>
    </row>
  </sheetData>
  <phoneticPr fontId="5"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97D9-EF9E-41B9-9EF1-284BD5C944D0}">
  <sheetPr codeName="Sheet10"/>
  <dimension ref="A1:K36"/>
  <sheetViews>
    <sheetView topLeftCell="A25" workbookViewId="0">
      <selection activeCell="M8" sqref="M8"/>
    </sheetView>
  </sheetViews>
  <sheetFormatPr defaultColWidth="8.77734375" defaultRowHeight="13.2"/>
  <cols>
    <col min="1" max="1" width="89.21875" style="290" bestFit="1" customWidth="1"/>
    <col min="2" max="2" width="14.77734375" style="311" bestFit="1" customWidth="1"/>
    <col min="3" max="3" width="14.21875" style="311" bestFit="1" customWidth="1"/>
    <col min="4" max="4" width="8.77734375" style="311"/>
    <col min="5" max="5" width="8.77734375" style="290"/>
    <col min="6" max="6" width="10.109375" style="290" bestFit="1" customWidth="1"/>
    <col min="7" max="7" width="14.77734375" style="311" bestFit="1" customWidth="1"/>
    <col min="8" max="8" width="13.5546875" style="311" bestFit="1" customWidth="1"/>
    <col min="9" max="9" width="10.109375" style="290" bestFit="1" customWidth="1"/>
    <col min="10" max="10" width="16.109375" style="290" bestFit="1" customWidth="1"/>
    <col min="11" max="11" width="10.109375" style="290" bestFit="1" customWidth="1"/>
    <col min="12" max="16384" width="8.77734375" style="290"/>
  </cols>
  <sheetData>
    <row r="1" spans="1:11">
      <c r="F1" s="319"/>
      <c r="G1" s="282"/>
      <c r="H1" s="282"/>
      <c r="I1" s="319"/>
      <c r="J1" s="319"/>
    </row>
    <row r="2" spans="1:11">
      <c r="A2" s="310" t="str">
        <f>Milestone_Results_Summary!A2</f>
        <v xml:space="preserve">Milestone 1: Establish Greenhouse Gas Inventory and Scope of Work </v>
      </c>
      <c r="B2" s="311" t="str">
        <f>Milestone_Results_Summary!C2</f>
        <v xml:space="preserve">Weighted_Score </v>
      </c>
      <c r="C2" s="311" t="str">
        <f>Milestone_Results_Summary!D2</f>
        <v>Task_Total</v>
      </c>
      <c r="D2" s="311" t="s">
        <v>528</v>
      </c>
      <c r="G2" s="319" t="s">
        <v>527</v>
      </c>
      <c r="H2" s="319" t="s">
        <v>530</v>
      </c>
      <c r="I2" s="319" t="s">
        <v>532</v>
      </c>
      <c r="J2" s="319" t="s">
        <v>533</v>
      </c>
      <c r="K2" s="319" t="s">
        <v>531</v>
      </c>
    </row>
    <row r="3" spans="1:11">
      <c r="A3" s="290" t="s">
        <v>535</v>
      </c>
      <c r="B3" s="315">
        <f>Milestone_Results_Summary!C3</f>
        <v>0</v>
      </c>
      <c r="C3" s="311">
        <f>Milestone_Results_Summary!D3</f>
        <v>4</v>
      </c>
      <c r="D3" s="312">
        <f>B3/C3</f>
        <v>0</v>
      </c>
      <c r="F3" s="290" t="s">
        <v>560</v>
      </c>
      <c r="G3" s="313">
        <f>H15</f>
        <v>0</v>
      </c>
      <c r="H3" s="313">
        <f>H17</f>
        <v>0</v>
      </c>
      <c r="I3" s="314">
        <f>H19</f>
        <v>0</v>
      </c>
      <c r="J3" s="314">
        <f>H21</f>
        <v>0</v>
      </c>
      <c r="K3" s="314">
        <f>H23</f>
        <v>0</v>
      </c>
    </row>
    <row r="4" spans="1:11">
      <c r="A4" s="290" t="s">
        <v>534</v>
      </c>
      <c r="B4" s="315">
        <f>Milestone_Results_Summary!C4</f>
        <v>0</v>
      </c>
      <c r="C4" s="311">
        <f>Milestone_Results_Summary!D4</f>
        <v>7</v>
      </c>
      <c r="D4" s="312">
        <f t="shared" ref="D4:D35" si="0">B4/C4</f>
        <v>0</v>
      </c>
      <c r="F4" s="290" t="s">
        <v>559</v>
      </c>
      <c r="G4" s="311">
        <v>10</v>
      </c>
      <c r="H4" s="311">
        <v>7</v>
      </c>
      <c r="I4" s="290">
        <v>12</v>
      </c>
      <c r="J4" s="290">
        <v>12</v>
      </c>
      <c r="K4" s="290">
        <v>7</v>
      </c>
    </row>
    <row r="5" spans="1:11">
      <c r="A5" s="290" t="s">
        <v>536</v>
      </c>
      <c r="B5" s="315">
        <f>Milestone_Results_Summary!C5</f>
        <v>0</v>
      </c>
      <c r="C5" s="311">
        <f>Milestone_Results_Summary!D5</f>
        <v>4</v>
      </c>
      <c r="D5" s="312">
        <f t="shared" si="0"/>
        <v>0</v>
      </c>
      <c r="F5" s="290" t="s">
        <v>561</v>
      </c>
      <c r="G5" s="311">
        <v>6</v>
      </c>
      <c r="H5" s="311">
        <v>5</v>
      </c>
      <c r="I5" s="290">
        <v>10</v>
      </c>
      <c r="J5" s="290">
        <v>10</v>
      </c>
      <c r="K5" s="290">
        <v>5</v>
      </c>
    </row>
    <row r="6" spans="1:11">
      <c r="A6" s="290" t="s">
        <v>537</v>
      </c>
      <c r="B6" s="315">
        <f>Milestone_Results_Summary!C6</f>
        <v>0</v>
      </c>
      <c r="C6" s="311">
        <f>Milestone_Results_Summary!D6</f>
        <v>3</v>
      </c>
      <c r="D6" s="312">
        <f t="shared" si="0"/>
        <v>0</v>
      </c>
      <c r="F6" s="290" t="s">
        <v>562</v>
      </c>
      <c r="G6" s="311">
        <v>6</v>
      </c>
      <c r="H6" s="311">
        <v>5</v>
      </c>
      <c r="I6" s="290">
        <v>8</v>
      </c>
      <c r="J6" s="290">
        <v>6</v>
      </c>
      <c r="K6" s="290">
        <v>5</v>
      </c>
    </row>
    <row r="7" spans="1:11">
      <c r="B7" s="315">
        <f>Milestone_Results_Summary!C7</f>
        <v>0</v>
      </c>
      <c r="C7" s="311">
        <f>Milestone_Results_Summary!D7</f>
        <v>18</v>
      </c>
      <c r="F7" s="290" t="s">
        <v>563</v>
      </c>
      <c r="G7" s="311">
        <v>6</v>
      </c>
      <c r="H7" s="311">
        <v>5</v>
      </c>
      <c r="I7" s="290">
        <v>7</v>
      </c>
      <c r="J7" s="290">
        <v>6</v>
      </c>
      <c r="K7" s="290">
        <v>5</v>
      </c>
    </row>
    <row r="8" spans="1:11">
      <c r="A8" s="310" t="str">
        <f>Milestone_Results_Summary!A8</f>
        <v>Milestone 2: Categorize Portfolio</v>
      </c>
      <c r="B8" s="315" t="str">
        <f>Milestone_Results_Summary!C8</f>
        <v xml:space="preserve">Weighted_Score </v>
      </c>
      <c r="C8" s="311" t="str">
        <f>Milestone_Results_Summary!D8</f>
        <v>Milestone_Total</v>
      </c>
      <c r="D8" s="311" t="s">
        <v>528</v>
      </c>
    </row>
    <row r="9" spans="1:11">
      <c r="A9" s="290" t="s">
        <v>538</v>
      </c>
      <c r="B9" s="315">
        <f>Milestone_Results_Summary!C9</f>
        <v>0</v>
      </c>
      <c r="C9" s="311">
        <f>Milestone_Results_Summary!D9</f>
        <v>2</v>
      </c>
      <c r="D9" s="312">
        <f t="shared" si="0"/>
        <v>0</v>
      </c>
      <c r="F9" s="290" t="str">
        <f>F25</f>
        <v xml:space="preserve">Milestone 6: Ongoing Implementation </v>
      </c>
      <c r="G9" s="313">
        <f>H25</f>
        <v>0</v>
      </c>
      <c r="H9" s="290" t="s">
        <v>561</v>
      </c>
      <c r="I9" s="290">
        <v>2</v>
      </c>
      <c r="J9" s="290" t="s">
        <v>559</v>
      </c>
      <c r="K9" s="290">
        <v>3</v>
      </c>
    </row>
    <row r="10" spans="1:11">
      <c r="A10" s="290" t="s">
        <v>554</v>
      </c>
      <c r="B10" s="315">
        <f>Milestone_Results_Summary!C10</f>
        <v>0</v>
      </c>
      <c r="C10" s="311">
        <f>Milestone_Results_Summary!D10</f>
        <v>6</v>
      </c>
      <c r="D10" s="312">
        <f t="shared" si="0"/>
        <v>0</v>
      </c>
      <c r="G10" s="313"/>
      <c r="H10" s="290" t="s">
        <v>562</v>
      </c>
      <c r="I10" s="290">
        <v>2</v>
      </c>
      <c r="J10" s="290" t="s">
        <v>564</v>
      </c>
      <c r="K10" s="290">
        <f>K9-K11</f>
        <v>2</v>
      </c>
    </row>
    <row r="11" spans="1:11">
      <c r="A11" s="290" t="s">
        <v>555</v>
      </c>
      <c r="B11" s="315">
        <f>Milestone_Results_Summary!C11</f>
        <v>0</v>
      </c>
      <c r="C11" s="311">
        <f>Milestone_Results_Summary!D11</f>
        <v>4</v>
      </c>
      <c r="D11" s="312">
        <f t="shared" si="0"/>
        <v>0</v>
      </c>
      <c r="H11" s="290" t="s">
        <v>563</v>
      </c>
      <c r="I11" s="290">
        <v>1</v>
      </c>
      <c r="J11" s="290" t="s">
        <v>565</v>
      </c>
      <c r="K11" s="290">
        <v>1</v>
      </c>
    </row>
    <row r="12" spans="1:11">
      <c r="A12" s="290" t="s">
        <v>539</v>
      </c>
      <c r="B12" s="315">
        <f>Milestone_Results_Summary!C12</f>
        <v>0</v>
      </c>
      <c r="C12" s="311">
        <f>Milestone_Results_Summary!D12</f>
        <v>3</v>
      </c>
      <c r="D12" s="312">
        <f t="shared" si="0"/>
        <v>0</v>
      </c>
      <c r="J12" s="290" t="s">
        <v>566</v>
      </c>
      <c r="K12" s="290">
        <f>5-K9</f>
        <v>2</v>
      </c>
    </row>
    <row r="13" spans="1:11">
      <c r="B13" s="315">
        <f>Milestone_Results_Summary!C13</f>
        <v>0</v>
      </c>
      <c r="C13" s="311">
        <f>Milestone_Results_Summary!D13</f>
        <v>15</v>
      </c>
    </row>
    <row r="14" spans="1:11">
      <c r="A14" s="310" t="str">
        <f>Milestone_Results_Summary!A14</f>
        <v>Milestone 3: Assess Measures</v>
      </c>
      <c r="B14" s="315" t="str">
        <f>Milestone_Results_Summary!C14</f>
        <v xml:space="preserve">Weighted_Score </v>
      </c>
      <c r="C14" s="311" t="str">
        <f>Milestone_Results_Summary!D14</f>
        <v>Milestone_Total</v>
      </c>
      <c r="D14" s="311" t="s">
        <v>528</v>
      </c>
      <c r="F14" s="319"/>
      <c r="G14" s="311" t="s">
        <v>567</v>
      </c>
      <c r="H14" s="311" t="str">
        <f>B2</f>
        <v xml:space="preserve">Weighted_Score </v>
      </c>
    </row>
    <row r="15" spans="1:11">
      <c r="A15" s="290" t="s">
        <v>540</v>
      </c>
      <c r="B15" s="315">
        <f>Milestone_Results_Summary!C15</f>
        <v>0</v>
      </c>
      <c r="C15" s="311">
        <f>Milestone_Results_Summary!D15</f>
        <v>15</v>
      </c>
      <c r="D15" s="312">
        <f t="shared" si="0"/>
        <v>0</v>
      </c>
      <c r="F15" s="319" t="str">
        <f>A2</f>
        <v xml:space="preserve">Milestone 1: Establish Greenhouse Gas Inventory and Scope of Work </v>
      </c>
      <c r="G15" s="311">
        <f>C7</f>
        <v>18</v>
      </c>
      <c r="H15" s="313">
        <f>B7</f>
        <v>0</v>
      </c>
    </row>
    <row r="16" spans="1:11">
      <c r="A16" s="290" t="s">
        <v>541</v>
      </c>
      <c r="B16" s="315">
        <f>Milestone_Results_Summary!C16</f>
        <v>0</v>
      </c>
      <c r="C16" s="311">
        <f>Milestone_Results_Summary!D16</f>
        <v>10</v>
      </c>
      <c r="D16" s="312">
        <f t="shared" si="0"/>
        <v>0</v>
      </c>
      <c r="F16" s="290" t="s">
        <v>568</v>
      </c>
      <c r="H16" s="313">
        <f>G15-H15</f>
        <v>18</v>
      </c>
    </row>
    <row r="17" spans="1:10">
      <c r="B17" s="315">
        <f>Milestone_Results_Summary!C17</f>
        <v>0</v>
      </c>
      <c r="C17" s="311">
        <f>Milestone_Results_Summary!D17</f>
        <v>25</v>
      </c>
      <c r="F17" s="319" t="str">
        <f>A8</f>
        <v>Milestone 2: Categorize Portfolio</v>
      </c>
      <c r="G17" s="311">
        <f>C13</f>
        <v>15</v>
      </c>
      <c r="H17" s="313">
        <f>B13</f>
        <v>0</v>
      </c>
    </row>
    <row r="18" spans="1:10">
      <c r="A18" s="310" t="str">
        <f>Milestone_Results_Summary!A18</f>
        <v>Milestone 4: Develop Scenarios</v>
      </c>
      <c r="B18" s="315" t="str">
        <f>Milestone_Results_Summary!C18</f>
        <v xml:space="preserve">Weighted_Score </v>
      </c>
      <c r="C18" s="311" t="str">
        <f>Milestone_Results_Summary!D18</f>
        <v>Milestone_Total</v>
      </c>
      <c r="D18" s="311" t="s">
        <v>528</v>
      </c>
      <c r="F18" s="290" t="s">
        <v>569</v>
      </c>
      <c r="H18" s="313">
        <f>G17-H17</f>
        <v>15</v>
      </c>
    </row>
    <row r="19" spans="1:10">
      <c r="A19" s="290" t="s">
        <v>556</v>
      </c>
      <c r="B19" s="315">
        <f>Milestone_Results_Summary!C19</f>
        <v>0</v>
      </c>
      <c r="C19" s="311">
        <f>Milestone_Results_Summary!D19</f>
        <v>4</v>
      </c>
      <c r="D19" s="312">
        <f t="shared" si="0"/>
        <v>0</v>
      </c>
      <c r="F19" s="319" t="str">
        <f>A14</f>
        <v>Milestone 3: Assess Measures</v>
      </c>
      <c r="G19" s="311">
        <f>C17</f>
        <v>25</v>
      </c>
      <c r="H19" s="313">
        <f>B17</f>
        <v>0</v>
      </c>
    </row>
    <row r="20" spans="1:10">
      <c r="A20" s="290" t="s">
        <v>542</v>
      </c>
      <c r="B20" s="315">
        <f>Milestone_Results_Summary!C20</f>
        <v>0</v>
      </c>
      <c r="C20" s="311">
        <f>Milestone_Results_Summary!D20</f>
        <v>3</v>
      </c>
      <c r="D20" s="312">
        <f t="shared" si="0"/>
        <v>0</v>
      </c>
      <c r="F20" s="290" t="s">
        <v>570</v>
      </c>
      <c r="H20" s="313">
        <f>G19-H19</f>
        <v>25</v>
      </c>
    </row>
    <row r="21" spans="1:10">
      <c r="A21" s="290" t="s">
        <v>543</v>
      </c>
      <c r="B21" s="315">
        <f>Milestone_Results_Summary!C21</f>
        <v>0</v>
      </c>
      <c r="C21" s="311">
        <f>Milestone_Results_Summary!D21</f>
        <v>6</v>
      </c>
      <c r="D21" s="312">
        <f t="shared" si="0"/>
        <v>0</v>
      </c>
      <c r="F21" s="319" t="str">
        <f>A18</f>
        <v>Milestone 4: Develop Scenarios</v>
      </c>
      <c r="G21" s="311">
        <f>C24</f>
        <v>22</v>
      </c>
      <c r="H21" s="313">
        <f>B24</f>
        <v>0</v>
      </c>
    </row>
    <row r="22" spans="1:10">
      <c r="A22" s="290" t="s">
        <v>544</v>
      </c>
      <c r="B22" s="315">
        <f>Milestone_Results_Summary!C22</f>
        <v>0</v>
      </c>
      <c r="C22" s="311">
        <f>Milestone_Results_Summary!D22</f>
        <v>6</v>
      </c>
      <c r="D22" s="312">
        <f t="shared" si="0"/>
        <v>0</v>
      </c>
      <c r="F22" s="290" t="s">
        <v>571</v>
      </c>
      <c r="H22" s="313">
        <f>G21-H21</f>
        <v>22</v>
      </c>
    </row>
    <row r="23" spans="1:10">
      <c r="A23" s="290" t="s">
        <v>545</v>
      </c>
      <c r="B23" s="315">
        <f>Milestone_Results_Summary!C23</f>
        <v>0</v>
      </c>
      <c r="C23" s="311">
        <f>Milestone_Results_Summary!D23</f>
        <v>3</v>
      </c>
      <c r="D23" s="312">
        <f t="shared" si="0"/>
        <v>0</v>
      </c>
      <c r="F23" s="319" t="str">
        <f>A25</f>
        <v>Milestone 5: Define Emissions Reduction Plan</v>
      </c>
      <c r="G23" s="311">
        <f>C30</f>
        <v>15</v>
      </c>
      <c r="H23" s="313">
        <f>B30</f>
        <v>0</v>
      </c>
    </row>
    <row r="24" spans="1:10">
      <c r="B24" s="315">
        <f>Milestone_Results_Summary!C24</f>
        <v>0</v>
      </c>
      <c r="C24" s="311">
        <f>Milestone_Results_Summary!D24</f>
        <v>22</v>
      </c>
      <c r="F24" s="290" t="s">
        <v>572</v>
      </c>
      <c r="H24" s="313">
        <f>G23-H23</f>
        <v>15</v>
      </c>
      <c r="J24" s="316"/>
    </row>
    <row r="25" spans="1:10">
      <c r="A25" s="310" t="str">
        <f>Milestone_Results_Summary!A25</f>
        <v>Milestone 5: Define Emissions Reduction Plan</v>
      </c>
      <c r="B25" s="315" t="str">
        <f>Milestone_Results_Summary!C25</f>
        <v xml:space="preserve">Weighted_Score </v>
      </c>
      <c r="C25" s="311" t="str">
        <f>Milestone_Results_Summary!D25</f>
        <v>Milestone_Total</v>
      </c>
      <c r="D25" s="311" t="s">
        <v>528</v>
      </c>
      <c r="F25" s="319" t="str">
        <f>A31</f>
        <v xml:space="preserve">Milestone 6: Ongoing Implementation </v>
      </c>
      <c r="G25" s="311">
        <f>C36</f>
        <v>5</v>
      </c>
      <c r="H25" s="313">
        <f>B36</f>
        <v>0</v>
      </c>
      <c r="J25" s="318"/>
    </row>
    <row r="26" spans="1:10">
      <c r="A26" s="290" t="s">
        <v>546</v>
      </c>
      <c r="B26" s="315">
        <f>Milestone_Results_Summary!C26</f>
        <v>0</v>
      </c>
      <c r="C26" s="311">
        <f>Milestone_Results_Summary!D26</f>
        <v>7</v>
      </c>
      <c r="D26" s="312">
        <f t="shared" si="0"/>
        <v>0</v>
      </c>
      <c r="F26" s="290" t="s">
        <v>573</v>
      </c>
      <c r="H26" s="313">
        <f>G25-H25</f>
        <v>5</v>
      </c>
      <c r="I26" s="317"/>
      <c r="J26" s="318"/>
    </row>
    <row r="27" spans="1:10">
      <c r="A27" s="290" t="s">
        <v>548</v>
      </c>
      <c r="B27" s="315">
        <f>Milestone_Results_Summary!C27</f>
        <v>0</v>
      </c>
      <c r="C27" s="311">
        <f>Milestone_Results_Summary!D27</f>
        <v>4</v>
      </c>
      <c r="D27" s="312">
        <f t="shared" si="0"/>
        <v>0</v>
      </c>
      <c r="F27" s="290" t="s">
        <v>617</v>
      </c>
      <c r="G27" s="313">
        <f>SUM(H25+H23+H21+H19+H17+H15)</f>
        <v>0</v>
      </c>
      <c r="H27" s="313">
        <f>G27</f>
        <v>0</v>
      </c>
      <c r="I27" s="317"/>
      <c r="J27" s="318"/>
    </row>
    <row r="28" spans="1:10">
      <c r="A28" s="290" t="s">
        <v>549</v>
      </c>
      <c r="B28" s="315">
        <f>Milestone_Results_Summary!C28</f>
        <v>0</v>
      </c>
      <c r="C28" s="311">
        <f>Milestone_Results_Summary!D28</f>
        <v>2</v>
      </c>
      <c r="D28" s="312">
        <f t="shared" si="0"/>
        <v>0</v>
      </c>
      <c r="F28" s="290" t="s">
        <v>616</v>
      </c>
      <c r="G28" s="311">
        <v>100</v>
      </c>
      <c r="H28" s="313">
        <f>G28-G27</f>
        <v>100</v>
      </c>
      <c r="I28" s="317"/>
      <c r="J28" s="318"/>
    </row>
    <row r="29" spans="1:10">
      <c r="A29" s="290" t="s">
        <v>547</v>
      </c>
      <c r="B29" s="315">
        <f>Milestone_Results_Summary!C29</f>
        <v>0</v>
      </c>
      <c r="C29" s="311">
        <f>Milestone_Results_Summary!D29</f>
        <v>2</v>
      </c>
      <c r="D29" s="312">
        <f t="shared" si="0"/>
        <v>0</v>
      </c>
      <c r="I29" s="317"/>
      <c r="J29" s="318"/>
    </row>
    <row r="30" spans="1:10">
      <c r="B30" s="315">
        <f>Milestone_Results_Summary!C30</f>
        <v>0</v>
      </c>
      <c r="C30" s="311">
        <f>Milestone_Results_Summary!D30</f>
        <v>15</v>
      </c>
      <c r="I30" s="317"/>
      <c r="J30" s="318"/>
    </row>
    <row r="31" spans="1:10">
      <c r="A31" s="310" t="str">
        <f>Milestone_Results_Summary!A31</f>
        <v xml:space="preserve">Milestone 6: Ongoing Implementation </v>
      </c>
      <c r="B31" s="315" t="str">
        <f>Milestone_Results_Summary!C31</f>
        <v xml:space="preserve">Weighted_Score </v>
      </c>
      <c r="C31" s="311" t="str">
        <f>Milestone_Results_Summary!D31</f>
        <v>Milestone_Total</v>
      </c>
      <c r="D31" s="311" t="s">
        <v>528</v>
      </c>
    </row>
    <row r="32" spans="1:10">
      <c r="A32" s="290" t="s">
        <v>550</v>
      </c>
      <c r="B32" s="315">
        <f>Milestone_Results_Summary!C32</f>
        <v>0</v>
      </c>
      <c r="C32" s="311">
        <f>Milestone_Results_Summary!D32</f>
        <v>2</v>
      </c>
      <c r="D32" s="312">
        <f t="shared" si="0"/>
        <v>0</v>
      </c>
    </row>
    <row r="33" spans="1:4">
      <c r="A33" s="290" t="s">
        <v>551</v>
      </c>
      <c r="B33" s="315">
        <f>Milestone_Results_Summary!C33</f>
        <v>0</v>
      </c>
      <c r="C33" s="311">
        <f>Milestone_Results_Summary!D33</f>
        <v>1</v>
      </c>
      <c r="D33" s="312">
        <f t="shared" si="0"/>
        <v>0</v>
      </c>
    </row>
    <row r="34" spans="1:4">
      <c r="A34" s="290" t="s">
        <v>552</v>
      </c>
      <c r="B34" s="315">
        <f>Milestone_Results_Summary!C34</f>
        <v>0</v>
      </c>
      <c r="C34" s="311">
        <f>Milestone_Results_Summary!D34</f>
        <v>1</v>
      </c>
      <c r="D34" s="312">
        <f t="shared" si="0"/>
        <v>0</v>
      </c>
    </row>
    <row r="35" spans="1:4">
      <c r="A35" s="290" t="s">
        <v>553</v>
      </c>
      <c r="B35" s="315">
        <f>Milestone_Results_Summary!C35</f>
        <v>0</v>
      </c>
      <c r="C35" s="311">
        <f>Milestone_Results_Summary!D35</f>
        <v>1</v>
      </c>
      <c r="D35" s="312">
        <f t="shared" si="0"/>
        <v>0</v>
      </c>
    </row>
    <row r="36" spans="1:4">
      <c r="B36" s="315">
        <f>Milestone_Results_Summary!C36</f>
        <v>0</v>
      </c>
      <c r="C36" s="311">
        <f>Milestone_Results_Summary!D36</f>
        <v>5</v>
      </c>
    </row>
  </sheetData>
  <phoneticPr fontId="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38D0-3888-4EA0-A0D8-A1E1E8812EF9}">
  <sheetPr codeName="Sheet17"/>
  <dimension ref="A1:L39"/>
  <sheetViews>
    <sheetView topLeftCell="J1" zoomScaleNormal="100" workbookViewId="0">
      <selection activeCell="K1" sqref="K1:L1"/>
    </sheetView>
  </sheetViews>
  <sheetFormatPr defaultColWidth="8.77734375" defaultRowHeight="15"/>
  <cols>
    <col min="1" max="1" width="7.6640625" style="18" bestFit="1" customWidth="1"/>
    <col min="2" max="2" width="46.5546875" style="62" customWidth="1"/>
    <col min="3" max="3" width="30.33203125" style="18" bestFit="1" customWidth="1"/>
    <col min="4" max="4" width="17.77734375" style="18" bestFit="1" customWidth="1"/>
    <col min="5" max="5" width="14.21875" style="18" bestFit="1" customWidth="1"/>
    <col min="6" max="6" width="32.77734375" style="18" bestFit="1" customWidth="1"/>
    <col min="7" max="7" width="25.33203125" style="18" customWidth="1"/>
    <col min="8" max="8" width="212" style="18" bestFit="1" customWidth="1"/>
    <col min="9" max="9" width="23.77734375" style="18" customWidth="1"/>
    <col min="10" max="10" width="147.88671875" style="62" customWidth="1"/>
    <col min="11" max="11" width="27.77734375" style="18" customWidth="1"/>
    <col min="12" max="12" width="28" style="18" customWidth="1"/>
    <col min="13" max="13" width="46.88671875" style="18" customWidth="1"/>
    <col min="14" max="16384" width="8.77734375" style="18"/>
  </cols>
  <sheetData>
    <row r="1" spans="1:12" ht="15.6">
      <c r="G1" s="1088" t="s">
        <v>489</v>
      </c>
      <c r="H1" s="1090"/>
      <c r="I1" s="1088" t="s">
        <v>490</v>
      </c>
      <c r="J1" s="1089"/>
      <c r="K1" s="1088" t="s">
        <v>766</v>
      </c>
      <c r="L1" s="1090"/>
    </row>
    <row r="2" spans="1:12" s="29" customFormat="1" ht="16.2" thickBot="1">
      <c r="A2" s="1094" t="str">
        <f>Milestone_1!I2</f>
        <v xml:space="preserve">Milestone 1: Establish Greenhouse Gas Inventory and Scope of Work </v>
      </c>
      <c r="B2" s="1095"/>
      <c r="C2" s="372" t="s">
        <v>468</v>
      </c>
      <c r="D2" s="372" t="s">
        <v>529</v>
      </c>
      <c r="E2" s="372" t="s">
        <v>469</v>
      </c>
      <c r="F2" s="372" t="s">
        <v>471</v>
      </c>
      <c r="G2" s="405" t="s">
        <v>481</v>
      </c>
      <c r="H2" s="342" t="s">
        <v>479</v>
      </c>
      <c r="I2" s="432" t="s">
        <v>626</v>
      </c>
      <c r="J2" s="410" t="s">
        <v>480</v>
      </c>
      <c r="K2" s="405" t="s">
        <v>626</v>
      </c>
      <c r="L2" s="342" t="s">
        <v>480</v>
      </c>
    </row>
    <row r="3" spans="1:12">
      <c r="A3" s="373" t="str">
        <f>Milestone_1!J7</f>
        <v>Task 1</v>
      </c>
      <c r="B3" s="374" t="str">
        <f>"Milestone1-Task1:" &amp; " " &amp; Milestone_1!K7</f>
        <v>Milestone1-Task1: Identify and engage stakeholders </v>
      </c>
      <c r="C3" s="269">
        <f>Milestone_1!AJ9</f>
        <v>0</v>
      </c>
      <c r="D3" s="269">
        <f>Milestone_1!AN9</f>
        <v>4</v>
      </c>
      <c r="E3" s="269">
        <f>D3/2</f>
        <v>2</v>
      </c>
      <c r="F3" s="64">
        <f>IF(C3&lt;=E3,0,1)</f>
        <v>0</v>
      </c>
      <c r="G3" s="429" t="str">
        <f>IF(F3=1,B3, " ")</f>
        <v xml:space="preserve"> </v>
      </c>
      <c r="H3" s="240" t="str">
        <f>IF(F3=0,B3, " ")</f>
        <v>Milestone1-Task1: Identify and engage stakeholders </v>
      </c>
      <c r="I3" s="309" t="str">
        <f>IF(F3=1,Feedback_List!F2," ")</f>
        <v xml:space="preserve"> </v>
      </c>
      <c r="J3" s="62" t="str">
        <f>IF(F3=0,Feedback_List!E2," ")</f>
        <v>•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v>
      </c>
      <c r="K3" s="406" t="str">
        <f>IF(F3=1,Feedback_List!F92,"")</f>
        <v/>
      </c>
      <c r="L3" s="407" t="str">
        <f>IF(F3=0,Feedback_List!E92,"")</f>
        <v>•Companies benefit from broader stakeholder engagement, including both internal teams (executives, finance, engineers) and external experts to ensure organizational alignment and bring specialized knowledge to your initiatives.</v>
      </c>
    </row>
    <row r="4" spans="1:12">
      <c r="A4" s="373" t="str">
        <f>Milestone_1!J43</f>
        <v>Task 2</v>
      </c>
      <c r="B4" s="374" t="str">
        <f>"Milestone1-Task2:" &amp; " " &amp; Milestone_1!K43</f>
        <v>Milestone1-Task2: Establish a GHG emissions inventory management plan</v>
      </c>
      <c r="C4" s="269">
        <f>Milestone_1!AJ45</f>
        <v>0</v>
      </c>
      <c r="D4" s="269">
        <f>Milestone_1!AN10</f>
        <v>7</v>
      </c>
      <c r="E4" s="269">
        <f t="shared" ref="E4:E35" si="0">D4/2</f>
        <v>3.5</v>
      </c>
      <c r="F4" s="64">
        <f t="shared" ref="F4:F35" si="1">IF(C4&lt;=E4,0,1)</f>
        <v>0</v>
      </c>
      <c r="G4" s="300" t="str">
        <f>IF(F4=1,B4, " ")</f>
        <v xml:space="preserve"> </v>
      </c>
      <c r="H4" s="240" t="str">
        <f t="shared" ref="H4:H32" si="2">IF(F4=0,B4, " ")</f>
        <v>Milestone1-Task2: Establish a GHG emissions inventory management plan</v>
      </c>
      <c r="I4" s="309" t="str">
        <f>IF(F4=1,Feedback_List!F5, " ")</f>
        <v xml:space="preserve"> </v>
      </c>
      <c r="J4" s="62" t="str">
        <f>IF(F4=0,Feedback_List!E5, " ")</f>
        <v>•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v>
      </c>
      <c r="K4" s="309" t="str">
        <f>IF(F4=1,Feedback_List!F93,"")</f>
        <v/>
      </c>
      <c r="L4" s="240" t="str">
        <f>IF(F4=0,Feedback_List!E93,"")</f>
        <v>•Consider developing a more robust GHG inventory by establishing a Protocol-aligned accounting framework that thoroughly maps all entities and operations while implementing a centralized tracking system with regular reporting schedules.</v>
      </c>
    </row>
    <row r="5" spans="1:12">
      <c r="A5" s="331" t="str">
        <f>Milestone_1!J93</f>
        <v>Task 3</v>
      </c>
      <c r="B5" s="62" t="str">
        <f>"Milestone1-Task3:" &amp; " " &amp; Milestone_1!K93</f>
        <v>Milestone1-Task3: Set GHG emission reduction goal</v>
      </c>
      <c r="C5" s="269">
        <f>Milestone_1!AJ95</f>
        <v>0</v>
      </c>
      <c r="D5" s="269">
        <f>Milestone_1!AN11</f>
        <v>4</v>
      </c>
      <c r="E5" s="269">
        <f t="shared" si="0"/>
        <v>2</v>
      </c>
      <c r="F5" s="64">
        <f t="shared" si="1"/>
        <v>0</v>
      </c>
      <c r="G5" s="300" t="str">
        <f>IF(F5=1,B5, " ")</f>
        <v xml:space="preserve"> </v>
      </c>
      <c r="H5" s="301"/>
      <c r="I5" s="309" t="str">
        <f>IF(F5=1,Feedback_List!F9, " ")</f>
        <v xml:space="preserve"> </v>
      </c>
      <c r="J5" s="62" t="str">
        <f>IF(F5=0,Feedback_List!E9, " ")</f>
        <v>•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v>
      </c>
      <c r="K5" s="309" t="str">
        <f>IF(F5=1,Feedback_List!F94,"")</f>
        <v/>
      </c>
      <c r="L5" s="240" t="str">
        <f>IF(F5=0,Feedback_List!E94,"")</f>
        <v>•Set more ambitious emission reduction targets that could drive innovation while potentially reducing costs through optimized processes.</v>
      </c>
    </row>
    <row r="6" spans="1:12">
      <c r="A6" s="260" t="str">
        <f>Milestone_1!J111</f>
        <v>Task 4</v>
      </c>
      <c r="B6" s="346" t="str">
        <f>"Milestone1-Task4:" &amp; " " &amp; Milestone_1!K111</f>
        <v>Milestone1-Task4: Define evaluation criteria</v>
      </c>
      <c r="C6" s="375">
        <f>Milestone_1!AJ113</f>
        <v>0</v>
      </c>
      <c r="D6" s="375">
        <f>Milestone_1!AN12</f>
        <v>3</v>
      </c>
      <c r="E6" s="375">
        <f t="shared" si="0"/>
        <v>1.5</v>
      </c>
      <c r="F6" s="417">
        <f t="shared" si="1"/>
        <v>0</v>
      </c>
      <c r="G6" s="430" t="str">
        <f>IF(F6=1,B6, " ")</f>
        <v xml:space="preserve"> </v>
      </c>
      <c r="H6" s="349"/>
      <c r="I6" s="309"/>
      <c r="J6" s="62" t="str">
        <f>IF(F6=0,Feedback_List!E14," ")</f>
        <v>•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v>
      </c>
      <c r="K6" s="309" t="str">
        <f>IF(F6=1,Feedback_List!F95,"")</f>
        <v/>
      </c>
      <c r="L6" s="240" t="str">
        <f>IF(F6=0,Feedback_List!E95,"")</f>
        <v>•A standardized assessment matrix would help prioritize projects based on reduction potential, costs, ROI, and strategic alignment, while considering valuable co-benefits beyond carbon reduction.</v>
      </c>
    </row>
    <row r="7" spans="1:12" ht="15.6">
      <c r="A7" s="1035" t="s">
        <v>436</v>
      </c>
      <c r="B7" s="1035"/>
      <c r="C7" s="376">
        <f>SUM(C3:C6)</f>
        <v>0</v>
      </c>
      <c r="D7" s="376">
        <f t="shared" ref="D7:E7" si="3">SUM(D3:D6)</f>
        <v>18</v>
      </c>
      <c r="E7" s="376">
        <f t="shared" si="3"/>
        <v>9</v>
      </c>
      <c r="F7" s="377"/>
      <c r="G7" s="366" t="str">
        <f t="shared" ref="G7:L7" si="4">_xlfn.TEXTJOIN(CHAR(10),TRUE,G3,G4,G5,G6)</f>
        <v xml:space="preserve"> 
 </v>
      </c>
      <c r="H7" s="366" t="str">
        <f t="shared" si="4"/>
        <v>Milestone1-Task1: Identify and engage stakeholders 
Milestone1-Task2: Establish a GHG emissions inventory management plan</v>
      </c>
      <c r="I7" s="366" t="str">
        <f t="shared" si="4"/>
        <v xml:space="preserve"> 
 </v>
      </c>
      <c r="J7" s="416" t="str">
        <f t="shared" si="4"/>
        <v>•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
•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
•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
•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v>
      </c>
      <c r="K7" s="366" t="str">
        <f t="shared" si="4"/>
        <v/>
      </c>
      <c r="L7" s="367" t="str">
        <f t="shared" si="4"/>
        <v>•Companies benefit from broader stakeholder engagement, including both internal teams (executives, finance, engineers) and external experts to ensure organizational alignment and bring specialized knowledge to your initiatives.
•Consider developing a more robust GHG inventory by establishing a Protocol-aligned accounting framework that thoroughly maps all entities and operations while implementing a centralized tracking system with regular reporting schedules.
•Set more ambitious emission reduction targets that could drive innovation while potentially reducing costs through optimized processes.
•A standardized assessment matrix would help prioritize projects based on reduction potential, costs, ROI, and strategic alignment, while considering valuable co-benefits beyond carbon reduction.</v>
      </c>
    </row>
    <row r="8" spans="1:12" s="29" customFormat="1" ht="15.6">
      <c r="A8" s="1094" t="str">
        <f>Milestone_2!I2</f>
        <v>Milestone 2: Categorize Portfolio</v>
      </c>
      <c r="B8" s="1095"/>
      <c r="C8" s="372" t="s">
        <v>468</v>
      </c>
      <c r="D8" s="372" t="s">
        <v>470</v>
      </c>
      <c r="E8" s="372" t="s">
        <v>469</v>
      </c>
      <c r="F8" s="372" t="s">
        <v>476</v>
      </c>
      <c r="G8" s="422"/>
      <c r="H8" s="299"/>
      <c r="I8" s="422"/>
      <c r="J8" s="18"/>
      <c r="K8" s="368"/>
      <c r="L8" s="427"/>
    </row>
    <row r="9" spans="1:12">
      <c r="A9" s="331" t="str">
        <f>Milestone_2!J5</f>
        <v>Task 1</v>
      </c>
      <c r="B9" s="62" t="str">
        <f>"Milestone2-Task1:" &amp; " " &amp; Milestone_2!K5</f>
        <v>Milestone2-Task1: Select characteristics of the portfolio</v>
      </c>
      <c r="C9" s="269">
        <f>Milestone_2!AG7</f>
        <v>0</v>
      </c>
      <c r="D9" s="269">
        <f>Milestone_2!AK7</f>
        <v>2</v>
      </c>
      <c r="E9" s="269">
        <f t="shared" si="0"/>
        <v>1</v>
      </c>
      <c r="F9" s="64">
        <f t="shared" si="1"/>
        <v>0</v>
      </c>
      <c r="G9" s="431" t="str">
        <f>IF(F9=1,B9, " ")</f>
        <v xml:space="preserve"> </v>
      </c>
      <c r="H9" s="348"/>
      <c r="I9" s="423" t="str">
        <f>IF(F9=1,Feedback_List!F17, " ")</f>
        <v xml:space="preserve"> </v>
      </c>
      <c r="J9" s="350" t="str">
        <f>IF(F9=0,Feedback_List!E17, " ")</f>
        <v>•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v>
      </c>
      <c r="K9" s="423" t="str">
        <f>IF(F9=1,Feedback_List!F97,"")</f>
        <v/>
      </c>
      <c r="L9" s="354" t="str">
        <f>IF(F9=0,Feedback_List!E97,"")</f>
        <v>•Identifying key characteristics within your portfolio to establish clear prioritization criteria. This would help focus your resources on the most impactful initiatives first.</v>
      </c>
    </row>
    <row r="10" spans="1:12">
      <c r="A10" s="373" t="str">
        <f>Milestone_2!J19</f>
        <v>Task 2</v>
      </c>
      <c r="B10" s="374" t="str">
        <f>"Milestone2-Task2:" &amp; " " &amp; Milestone_2!K19</f>
        <v xml:space="preserve">Milestone2-Task2: Identify and quantify GHG emissions for Significant Greenhouse Gas Emitters (SGEs) </v>
      </c>
      <c r="C10" s="269">
        <f>Milestone_2!AG21</f>
        <v>0</v>
      </c>
      <c r="D10" s="269">
        <f>Milestone_2!AK8</f>
        <v>6</v>
      </c>
      <c r="E10" s="269">
        <f t="shared" si="0"/>
        <v>3</v>
      </c>
      <c r="F10" s="64">
        <f>IF(C10&lt;=E10,0,1)</f>
        <v>0</v>
      </c>
      <c r="G10" s="300" t="str">
        <f>IF(F10=1,B10, " ")</f>
        <v xml:space="preserve"> </v>
      </c>
      <c r="H10" s="301" t="str">
        <f t="shared" si="2"/>
        <v xml:space="preserve">Milestone2-Task2: Identify and quantify GHG emissions for Significant Greenhouse Gas Emitters (SGEs) </v>
      </c>
      <c r="I10" s="309" t="str">
        <f>IF(F10=1,Feedback_List!F19, " ")</f>
        <v xml:space="preserve"> </v>
      </c>
      <c r="J10" s="62" t="str">
        <f>IF(F10=0,Feedback_List!E19, " ")</f>
        <v>• Companies should identify and quantify significant emission sources (SGEs) as understanding these helps prioritize cost-effective reduction opportunities and investments in cleaner technologies.</v>
      </c>
      <c r="K10" s="309" t="str">
        <f>IF(F10=1,Feedback_List!F98,"")</f>
        <v/>
      </c>
      <c r="L10" s="240" t="str">
        <f>IF(F10=0,Feedback_List!E98,"")</f>
        <v>•Consider conducting a thorough assessment to identify significant systems and processes with high emissions, as targeting these areas would yield substantial reductions.</v>
      </c>
    </row>
    <row r="11" spans="1:12">
      <c r="A11" s="373" t="str">
        <f>Milestone_2!J26</f>
        <v>Task 3</v>
      </c>
      <c r="B11" s="374" t="str">
        <f>"Milestone2-Task3:" &amp; " " &amp; Milestone_2!K26</f>
        <v xml:space="preserve">Milestone2-Task3: Benchmark Significant Greenhouse Gas Emitters (SGEs) </v>
      </c>
      <c r="C11" s="269">
        <f>Milestone_2!AG28</f>
        <v>0</v>
      </c>
      <c r="D11" s="269">
        <f>Milestone_2!AK9</f>
        <v>4</v>
      </c>
      <c r="E11" s="269">
        <f t="shared" si="0"/>
        <v>2</v>
      </c>
      <c r="F11" s="64">
        <f t="shared" si="1"/>
        <v>0</v>
      </c>
      <c r="G11" s="300" t="str">
        <f>IF(F11=1,B11, " ")</f>
        <v xml:space="preserve"> </v>
      </c>
      <c r="H11" s="301" t="str">
        <f t="shared" si="2"/>
        <v xml:space="preserve">Milestone2-Task3: Benchmark Significant Greenhouse Gas Emitters (SGEs) </v>
      </c>
      <c r="I11" s="309" t="str">
        <f>IF(F11=1,Feedback_List!F21, " ")</f>
        <v xml:space="preserve"> </v>
      </c>
      <c r="J11" s="62" t="str">
        <f>IF(F11=0,Feedback_List!E21, " ")</f>
        <v xml:space="preserve">•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emission reduction goals. </v>
      </c>
      <c r="K11" s="309" t="str">
        <f>IF(F11=1,Feedback_List!F99,"")</f>
        <v/>
      </c>
      <c r="L11" s="240" t="str">
        <f>IF(F11=0,Feedback_List!E99,"")</f>
        <v>•Implementing benchmarking activities would allow you to compare your performance against industry best practices and standards, revealing important improvement opportunities and setting appropriate targets.</v>
      </c>
    </row>
    <row r="12" spans="1:12">
      <c r="A12" s="260" t="str">
        <f>Milestone_2!J39</f>
        <v>Task 4</v>
      </c>
      <c r="B12" s="346" t="str">
        <f>"Milestone2-Task4:" &amp; " " &amp; Milestone_2!K39</f>
        <v xml:space="preserve">Milestone2-Task4: Select systems for further analysis </v>
      </c>
      <c r="C12" s="375">
        <f>Milestone_2!AG41</f>
        <v>0</v>
      </c>
      <c r="D12" s="375">
        <f>Milestone_2!AK10</f>
        <v>3</v>
      </c>
      <c r="E12" s="375">
        <f t="shared" si="0"/>
        <v>1.5</v>
      </c>
      <c r="F12" s="417">
        <f t="shared" si="1"/>
        <v>0</v>
      </c>
      <c r="G12" s="430" t="str">
        <f>IF(F12=1,B12, " ")</f>
        <v xml:space="preserve"> </v>
      </c>
      <c r="H12" s="349"/>
      <c r="I12" s="424"/>
      <c r="J12" s="346" t="str">
        <f>IF(F12=0,Feedback_List!E24, " ")</f>
        <v>• Companies should prioritize hard-to-decarbonize Significant Emission Sources (SGEs) through a data-driven assessment that ranks emission sources by magnitude and frequency across facilities.</v>
      </c>
      <c r="K12" s="424"/>
      <c r="L12" s="349"/>
    </row>
    <row r="13" spans="1:12" ht="16.2" thickBot="1">
      <c r="A13" s="1091" t="s">
        <v>436</v>
      </c>
      <c r="B13" s="1091"/>
      <c r="C13" s="270">
        <f>SUM(C9:C12)</f>
        <v>0</v>
      </c>
      <c r="D13" s="270">
        <f>SUM(D9:D12)</f>
        <v>15</v>
      </c>
      <c r="E13" s="270">
        <f>SUM(E9:E12)</f>
        <v>7.5</v>
      </c>
      <c r="F13" s="418"/>
      <c r="G13" s="366" t="str">
        <f>_xlfn.TEXTJOIN(CHAR(10),TRUE,G9,G10,G11,G12)</f>
        <v xml:space="preserve"> 
 </v>
      </c>
      <c r="H13" s="366" t="str">
        <f>_xlfn.TEXTJOIN(CHAR(10),TRUE,H9,H10,H11,H12)</f>
        <v xml:space="preserve">Milestone2-Task2: Identify and quantify GHG emissions for Significant Greenhouse Gas Emitters (SGEs) 
Milestone2-Task3: Benchmark Significant Greenhouse Gas Emitters (SGEs) </v>
      </c>
      <c r="I13" s="368" t="str">
        <f>_xlfn.TEXTJOIN(CHAR(10),TRUE,I9,I10,I11,I12)</f>
        <v xml:space="preserve"> 
 </v>
      </c>
      <c r="J13" s="408" t="str">
        <f>_xlfn.TEXTJOIN(CHAR(10),TRUE,J9,J10,J11,J12)</f>
        <v>•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
• Companies should identify and quantify significant emission sources (SGEs) as understanding these helps prioritize cost-effective reduction opportunities and investments in cleaner technologies.
•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emission reduction goals. 
• Companies should prioritize hard-to-decarbonize Significant Emission Sources (SGEs) through a data-driven assessment that ranks emission sources by magnitude and frequency across facilities.</v>
      </c>
      <c r="K13" s="366" t="str">
        <f>_xlfn.TEXTJOIN(CHAR(10),TRUE,K9,K10,K11)</f>
        <v/>
      </c>
      <c r="L13" s="367" t="str">
        <f>_xlfn.TEXTJOIN(CHAR(10),TRUE,L9,L10,L11)</f>
        <v>•Identifying key characteristics within your portfolio to establish clear prioritization criteria. This would help focus your resources on the most impactful initiatives first.
•Consider conducting a thorough assessment to identify significant systems and processes with high emissions, as targeting these areas would yield substantial reductions.
•Implementing benchmarking activities would allow you to compare your performance against industry best practices and standards, revealing important improvement opportunities and setting appropriate targets.</v>
      </c>
    </row>
    <row r="14" spans="1:12" s="29" customFormat="1" ht="16.2" thickTop="1">
      <c r="A14" s="1092" t="str">
        <f>Milestone_3!I2</f>
        <v>Milestone 3: Assess Measures</v>
      </c>
      <c r="B14" s="1093"/>
      <c r="C14" s="29" t="s">
        <v>468</v>
      </c>
      <c r="D14" s="29" t="s">
        <v>470</v>
      </c>
      <c r="E14" s="29" t="s">
        <v>469</v>
      </c>
      <c r="F14" s="29" t="s">
        <v>475</v>
      </c>
      <c r="G14" s="422"/>
      <c r="H14" s="299"/>
      <c r="I14" s="422"/>
      <c r="J14" s="267"/>
      <c r="K14" s="366"/>
      <c r="L14" s="419"/>
    </row>
    <row r="15" spans="1:12">
      <c r="A15" s="373" t="str">
        <f>Milestone_3!J5</f>
        <v>Task 1</v>
      </c>
      <c r="B15" s="374" t="str">
        <f>"Milestone3-Task1:" &amp; " " &amp; Milestone_3!K5</f>
        <v>Milestone3-Task1: Facility level GHG emissions reduction assessment planning</v>
      </c>
      <c r="C15" s="378">
        <f>Milestone_3!AH7</f>
        <v>0</v>
      </c>
      <c r="D15" s="378">
        <f>Milestone_3!AL7</f>
        <v>15</v>
      </c>
      <c r="E15" s="378">
        <f t="shared" si="0"/>
        <v>7.5</v>
      </c>
      <c r="F15" s="64">
        <f t="shared" si="1"/>
        <v>0</v>
      </c>
      <c r="G15" s="431" t="str">
        <f>IF(F15=1,B15, " ")</f>
        <v xml:space="preserve"> </v>
      </c>
      <c r="H15" s="354" t="str">
        <f t="shared" si="2"/>
        <v>Milestone3-Task1: Facility level GHG emissions reduction assessment planning</v>
      </c>
      <c r="I15" s="423" t="str">
        <f>IF(F15=1,Feedback_List!F27, " ")</f>
        <v xml:space="preserve"> </v>
      </c>
      <c r="J15" s="350" t="str">
        <f>IF(F15=0,Feedback_List!E27, " ")</f>
        <v>• A facility-level emission reduction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v>
      </c>
      <c r="K15" s="423" t="str">
        <f>IF(F15=1,Feedback_List!F102,"")</f>
        <v/>
      </c>
      <c r="L15" s="354" t="str">
        <f>IF(F15=0,Feedback_List!E102,"")</f>
        <v xml:space="preserve">•Conduct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v>
      </c>
    </row>
    <row r="16" spans="1:12">
      <c r="A16" s="379" t="str">
        <f>Milestone_3!J78</f>
        <v>Task 2</v>
      </c>
      <c r="B16" s="380" t="str">
        <f>"Milestone3-Task2:" &amp; " " &amp; Milestone_3!K78</f>
        <v>Milestone3-Task2: Portfolio level GHG emissions reduction assessment planning</v>
      </c>
      <c r="C16" s="381">
        <f>Milestone_3!AH80</f>
        <v>0</v>
      </c>
      <c r="D16" s="381">
        <f>Milestone_3!AL8</f>
        <v>10</v>
      </c>
      <c r="E16" s="381">
        <f t="shared" si="0"/>
        <v>5</v>
      </c>
      <c r="F16" s="417">
        <f t="shared" si="1"/>
        <v>0</v>
      </c>
      <c r="G16" s="430" t="str">
        <f>IF(F16=1,B16, " ")</f>
        <v xml:space="preserve"> </v>
      </c>
      <c r="H16" s="355" t="str">
        <f t="shared" si="2"/>
        <v>Milestone3-Task2: Portfolio level GHG emissions reduction assessment planning</v>
      </c>
      <c r="I16" s="425" t="str">
        <f>IF(F16=1, Feedback_List!F40, " ")</f>
        <v xml:space="preserve"> </v>
      </c>
      <c r="J16" s="346" t="str">
        <f>IF(F16=0, Feedback_List!E40, " ")</f>
        <v>• A portfolio-level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v>
      </c>
      <c r="K16" s="425" t="str">
        <f>IF(F16=1,Feedback_List!F103,"")</f>
        <v/>
      </c>
      <c r="L16" s="355" t="str">
        <f>IF(F16=0,Feedback_List!E103,"")</f>
        <v>•Conduct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v>
      </c>
    </row>
    <row r="17" spans="1:12" ht="16.2" thickBot="1">
      <c r="A17" s="1091" t="s">
        <v>436</v>
      </c>
      <c r="B17" s="1091"/>
      <c r="C17" s="270">
        <f>SUM(C15:C16)</f>
        <v>0</v>
      </c>
      <c r="D17" s="270">
        <f>SUM(D15:D16)</f>
        <v>25</v>
      </c>
      <c r="E17" s="270">
        <f>SUM(E15:E16)</f>
        <v>12.5</v>
      </c>
      <c r="F17" s="418"/>
      <c r="G17" s="366" t="str">
        <f t="shared" ref="G17:L17" si="5">_xlfn.TEXTJOIN(CHAR(10),TRUE,G15,G16)</f>
        <v xml:space="preserve"> 
 </v>
      </c>
      <c r="H17" s="366" t="str">
        <f t="shared" si="5"/>
        <v>Milestone3-Task1: Facility level GHG emissions reduction assessment planning
Milestone3-Task2: Portfolio level GHG emissions reduction assessment planning</v>
      </c>
      <c r="I17" s="368" t="str">
        <f t="shared" si="5"/>
        <v xml:space="preserve"> 
 </v>
      </c>
      <c r="J17" s="408" t="str">
        <f t="shared" si="5"/>
        <v>• A facility-level emission reduction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
• A portfolio-level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v>
      </c>
      <c r="K17" s="368" t="str">
        <f t="shared" si="5"/>
        <v/>
      </c>
      <c r="L17" s="433" t="str">
        <f t="shared" si="5"/>
        <v>•Conduct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v>
      </c>
    </row>
    <row r="18" spans="1:12" s="29" customFormat="1" ht="16.2" thickTop="1">
      <c r="A18" s="1092" t="str">
        <f>Milestone_4!I2</f>
        <v>Milestone 4: Develop Scenarios</v>
      </c>
      <c r="B18" s="1093"/>
      <c r="C18" s="29" t="s">
        <v>468</v>
      </c>
      <c r="D18" s="29" t="s">
        <v>470</v>
      </c>
      <c r="E18" s="29" t="s">
        <v>469</v>
      </c>
      <c r="F18" s="29" t="s">
        <v>474</v>
      </c>
      <c r="G18" s="422"/>
      <c r="H18" s="299"/>
      <c r="I18" s="426"/>
      <c r="J18" s="267"/>
      <c r="K18" s="368"/>
      <c r="L18" s="299"/>
    </row>
    <row r="19" spans="1:12">
      <c r="A19" s="373" t="str">
        <f>Milestone_4!J5</f>
        <v>Task 1</v>
      </c>
      <c r="B19" s="374" t="str">
        <f>"Milestone4-Task1:" &amp; " " &amp; Milestone_4!K5</f>
        <v>Milestone4-Task1: Establish scenario parameters</v>
      </c>
      <c r="C19" s="378">
        <f>Milestone_4!AQ19</f>
        <v>0</v>
      </c>
      <c r="D19" s="378">
        <f>Milestone_4!AY7</f>
        <v>4</v>
      </c>
      <c r="E19" s="378">
        <f t="shared" si="0"/>
        <v>2</v>
      </c>
      <c r="F19" s="64">
        <f t="shared" si="1"/>
        <v>0</v>
      </c>
      <c r="G19" s="431" t="str">
        <f>IF(F19=1,B19, " ")</f>
        <v xml:space="preserve"> </v>
      </c>
      <c r="H19" s="348" t="str">
        <f t="shared" si="2"/>
        <v>Milestone4-Task1: Establish scenario parameters</v>
      </c>
      <c r="I19" s="423" t="str">
        <f>IF(F19=1,Feedback_List!F47, " ")</f>
        <v xml:space="preserve"> </v>
      </c>
      <c r="J19" s="350" t="str">
        <f>IF(F19=0,Feedback_List!E47, " ")</f>
        <v>• Developing multiple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v>
      </c>
      <c r="K19" s="423" t="str">
        <f>IF(F19=1,Feedback_List!F105,"")</f>
        <v/>
      </c>
      <c r="L19" s="354" t="str">
        <f>IF(F19=0,Feedback_List!E105,"")</f>
        <v xml:space="preserve">•Establish multiple scenarios that could affect your emission reduction efforts. Developing these alternative futures would create more resilient planning that accounts for uncertainties in technology, markets,cost and regulations, and other external factors. </v>
      </c>
    </row>
    <row r="20" spans="1:12">
      <c r="A20" s="331" t="str">
        <f>Milestone_4!J27</f>
        <v>Task 2</v>
      </c>
      <c r="B20" s="62" t="str">
        <f>"Milestone4-Task2:" &amp; " " &amp; Milestone_4!K27</f>
        <v>Milestone4-Task2: Estimate future business portfolio changes</v>
      </c>
      <c r="C20" s="378">
        <f>Milestone_4!AQ29</f>
        <v>0</v>
      </c>
      <c r="D20" s="378">
        <f>Milestone_4!AY8</f>
        <v>3</v>
      </c>
      <c r="E20" s="378">
        <f t="shared" si="0"/>
        <v>1.5</v>
      </c>
      <c r="F20" s="64">
        <f t="shared" si="1"/>
        <v>0</v>
      </c>
      <c r="G20" s="300" t="str">
        <f>IF(F20=1,B20, " ")</f>
        <v xml:space="preserve"> </v>
      </c>
      <c r="H20" s="301"/>
      <c r="I20" s="309" t="str">
        <f>IF(F20=1,Feedback_List!F50, " ")</f>
        <v xml:space="preserve"> </v>
      </c>
      <c r="J20" s="62" t="str">
        <f>IF(F20=0,Feedback_List!E50, " ")</f>
        <v>• Corporate emission strategies must anticipate portfolio changes from acquisitions, divestments, and capacity expansions, building flexibility to maintain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alternate fuel technologies rather than relying on future retrofits.</v>
      </c>
      <c r="K20" s="309" t="str">
        <f>IF(F20=1,Feedback_List!F106,"")</f>
        <v/>
      </c>
      <c r="L20" s="240" t="str">
        <f>IF(F20=0,Feedback_List!E106,"")</f>
        <v>•Identify potential business portfolio changes—such as acquisitions, divestitures, or new product lines—could significantly impact your emissions profile.</v>
      </c>
    </row>
    <row r="21" spans="1:12">
      <c r="A21" s="331" t="str">
        <f>Milestone_4!J36</f>
        <v>Task 3</v>
      </c>
      <c r="B21" s="62" t="str">
        <f>"Milestone4-Task3:" &amp; " " &amp; Milestone_4!K36</f>
        <v>Milestone4-Task3: Review emissions reduction measures</v>
      </c>
      <c r="C21" s="378">
        <f>Milestone_4!AQ38</f>
        <v>0</v>
      </c>
      <c r="D21" s="378">
        <f>Milestone_4!AY9</f>
        <v>6</v>
      </c>
      <c r="E21" s="378">
        <f t="shared" si="0"/>
        <v>3</v>
      </c>
      <c r="F21" s="64">
        <f t="shared" si="1"/>
        <v>0</v>
      </c>
      <c r="G21" s="300" t="str">
        <f>IF(F21=1,B21, " ")</f>
        <v xml:space="preserve"> </v>
      </c>
      <c r="H21" s="301"/>
      <c r="I21" s="309" t="str">
        <f>IF(F21=1,Feedback_List!F52, " ")</f>
        <v xml:space="preserve"> </v>
      </c>
      <c r="J21" s="62" t="str">
        <f>IF(F21=0,Feedback_List!E52, " ")</f>
        <v>• Systematically evaluating emission reduction projects across multiple dimensions allows companies to develop roadmaps that balance immediate impact with strategic positioning, prioritizing initiatives with the highest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v>
      </c>
      <c r="K21" s="434"/>
      <c r="L21" s="240"/>
    </row>
    <row r="22" spans="1:12">
      <c r="A22" s="373" t="str">
        <f>Milestone_4!J57</f>
        <v>Task 4</v>
      </c>
      <c r="B22" s="374" t="str">
        <f>"Milestone4-Task4:" &amp; " " &amp; Milestone_4!K57</f>
        <v>Milestone4-Task4: Define scenarios</v>
      </c>
      <c r="C22" s="378">
        <f>Milestone_4!AQ59</f>
        <v>0</v>
      </c>
      <c r="D22" s="378">
        <f>Milestone_4!AY10</f>
        <v>6</v>
      </c>
      <c r="E22" s="378">
        <f t="shared" si="0"/>
        <v>3</v>
      </c>
      <c r="F22" s="64">
        <f t="shared" si="1"/>
        <v>0</v>
      </c>
      <c r="G22" s="300" t="str">
        <f>IF(F22=1,B22, " ")</f>
        <v xml:space="preserve"> </v>
      </c>
      <c r="H22" s="301" t="str">
        <f t="shared" si="2"/>
        <v>Milestone4-Task4: Define scenarios</v>
      </c>
      <c r="I22" s="309" t="str">
        <f>IF(F22=1,Feedback_List!F54, " ")</f>
        <v xml:space="preserve"> </v>
      </c>
      <c r="J22" s="62" t="str">
        <f>IF(F22=0,Feedback_List!E54, " ")</f>
        <v>• Defining scenarios and  accounting for critical cost variables enables companies to create emission reduction strategies that remain economically viable through market fluctuations, technological changes, and macroeconomic shifts, particularly as fossil fuel prices, alternate fuel markets, and electricity costs evolve. Companies should integrate financing parameters like interest rates and funding mechanisms into emission reduction planning, creating structured approaches such as internal carbon pricing, dedicated capital allocations, and revolving sustainability funds that ensure climate projects don't compete directly against core business investments. Organizations must model grid emission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roadmaps.</v>
      </c>
      <c r="K22" s="309" t="str">
        <f>IF(F22=1,Feedback_List!F108,"")</f>
        <v/>
      </c>
      <c r="L22" s="240" t="str">
        <f>IF(F22=0,Feedback_List!E108,"")</f>
        <v>•Once these scenarios and portfolio changes are outlined, evaluating their effects on your emission reduction trajectory would allow for more adaptive planning rather than a single rigid pathway. This scenario-based methodology would help future-proof your climate strategy, ensuring it remains relevant and effective despite changing business conditions.</v>
      </c>
    </row>
    <row r="23" spans="1:12">
      <c r="A23" s="260" t="str">
        <f>Milestone_4!J83</f>
        <v>Task 5</v>
      </c>
      <c r="B23" s="346" t="str">
        <f>"Milestone4-Task5:" &amp; " " &amp; Milestone_4!K83</f>
        <v>Milestone4-Task5: Evaluate scenarios</v>
      </c>
      <c r="C23" s="381">
        <f>Milestone_4!AQ85</f>
        <v>0</v>
      </c>
      <c r="D23" s="381">
        <f>Milestone_4!AY11</f>
        <v>3</v>
      </c>
      <c r="E23" s="381">
        <f t="shared" si="0"/>
        <v>1.5</v>
      </c>
      <c r="F23" s="417">
        <f t="shared" si="1"/>
        <v>0</v>
      </c>
      <c r="G23" s="430" t="str">
        <f>IF(F23=1,B23, " ")</f>
        <v xml:space="preserve"> </v>
      </c>
      <c r="H23" s="349"/>
      <c r="I23" s="425" t="str">
        <f>IF(F23=1,Feedback_List!F58, " ")</f>
        <v xml:space="preserve"> </v>
      </c>
      <c r="J23" s="346" t="str">
        <f>IF(F23=0,Feedback_List!E58, " ")</f>
        <v>• Developing comprehensive cost, technology, and financial scenarios for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v>
      </c>
      <c r="K23" s="424"/>
      <c r="L23" s="355"/>
    </row>
    <row r="24" spans="1:12" ht="16.2" thickBot="1">
      <c r="A24" s="1091" t="s">
        <v>436</v>
      </c>
      <c r="B24" s="1091"/>
      <c r="C24" s="270">
        <f>SUM(C19:C23)</f>
        <v>0</v>
      </c>
      <c r="D24" s="270">
        <f>SUM(D19:D23)</f>
        <v>22</v>
      </c>
      <c r="E24" s="270">
        <f>SUM(E19:E23)</f>
        <v>11</v>
      </c>
      <c r="F24" s="418"/>
      <c r="G24" s="366" t="str">
        <f>_xlfn.TEXTJOIN(CHAR(10),TRUE,G19,G20,G21,G22,G23)</f>
        <v xml:space="preserve"> 
 </v>
      </c>
      <c r="H24" s="366" t="str">
        <f>_xlfn.TEXTJOIN(CHAR(10),TRUE,H19,H20,H21,H22,H23)</f>
        <v>Milestone4-Task1: Establish scenario parameters
Milestone4-Task4: Define scenarios</v>
      </c>
      <c r="I24" s="368" t="str">
        <f>_xlfn.TEXTJOIN(CHAR(10),TRUE,I19,I20,I21,I22,I23)</f>
        <v xml:space="preserve"> 
 </v>
      </c>
      <c r="J24" s="408" t="str">
        <f>_xlfn.TEXTJOIN(CHAR(10),TRUE,J19,J20,J21,J22,J23)</f>
        <v>• Developing multiple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
• Corporate emission strategies must anticipate portfolio changes from acquisitions, divestments, and capacity expansions, building flexibility to maintain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alternate fuel technologies rather than relying on future retrofits.
• Systematically evaluating emission reduction projects across multiple dimensions allows companies to develop roadmaps that balance immediate impact with strategic positioning, prioritizing initiatives with the highest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
• Defining scenarios and  accounting for critical cost variables enables companies to create emission reduction strategies that remain economically viable through market fluctuations, technological changes, and macroeconomic shifts, particularly as fossil fuel prices, alternate fuel markets, and electricity costs evolve. Companies should integrate financing parameters like interest rates and funding mechanisms into emission reduction planning, creating structured approaches such as internal carbon pricing, dedicated capital allocations, and revolving sustainability funds that ensure climate projects don't compete directly against core business investments. Organizations must model grid emission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roadmaps.
• Developing comprehensive cost, technology, and financial scenarios for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v>
      </c>
      <c r="K24" s="368" t="str">
        <f>_xlfn.TEXTJOIN(CHAR(10),TRUE,K19,K20,K22)</f>
        <v/>
      </c>
      <c r="L24" s="433" t="str">
        <f>_xlfn.TEXTJOIN(CHAR(10),TRUE,L19,L20,L22)</f>
        <v>•Establish multiple scenarios that could affect your emission reduction efforts. Developing these alternative futures would create more resilient planning that accounts for uncertainties in technology, markets,cost and regulations, and other external factors. 
•Identify potential business portfolio changes—such as acquisitions, divestitures, or new product lines—could significantly impact your emissions profile.
•Once these scenarios and portfolio changes are outlined, evaluating their effects on your emission reduction trajectory would allow for more adaptive planning rather than a single rigid pathway. This scenario-based methodology would help future-proof your climate strategy, ensuring it remains relevant and effective despite changing business conditions.</v>
      </c>
    </row>
    <row r="25" spans="1:12" s="29" customFormat="1" ht="16.2" thickTop="1">
      <c r="A25" s="1092" t="str">
        <f>Milestone_5!I2</f>
        <v>Milestone 5: Define Emissions Reduction Plan</v>
      </c>
      <c r="B25" s="1093"/>
      <c r="C25" s="29" t="s">
        <v>468</v>
      </c>
      <c r="D25" s="29" t="s">
        <v>470</v>
      </c>
      <c r="E25" s="29" t="s">
        <v>469</v>
      </c>
      <c r="F25" s="29" t="s">
        <v>473</v>
      </c>
      <c r="G25" s="422"/>
      <c r="H25" s="299"/>
      <c r="I25" s="422"/>
      <c r="J25" s="267"/>
      <c r="K25" s="341"/>
      <c r="L25" s="427"/>
    </row>
    <row r="26" spans="1:12">
      <c r="A26" s="373" t="str">
        <f>Milestone_5!J5</f>
        <v>Task 1</v>
      </c>
      <c r="B26" s="374" t="str">
        <f>"Milestone5-Task1:" &amp; " " &amp; Milestone_5!K5</f>
        <v>Milestone5-Task1: Assess scenarios and select pathway</v>
      </c>
      <c r="C26" s="378">
        <f>Milestone_5!AI7</f>
        <v>0</v>
      </c>
      <c r="D26" s="378">
        <f>Milestone_5!AM7</f>
        <v>7</v>
      </c>
      <c r="E26" s="378">
        <f t="shared" si="0"/>
        <v>3.5</v>
      </c>
      <c r="F26" s="64">
        <f t="shared" si="1"/>
        <v>0</v>
      </c>
      <c r="G26" s="431" t="str">
        <f>IF(F26=1,B26, " ")</f>
        <v xml:space="preserve"> </v>
      </c>
      <c r="H26" s="354" t="str">
        <f t="shared" si="2"/>
        <v>Milestone5-Task1: Assess scenarios and select pathway</v>
      </c>
      <c r="I26" s="423" t="str">
        <f>IF(F26=1,Feedback_List!F61, " ")</f>
        <v xml:space="preserve"> </v>
      </c>
      <c r="J26" s="350" t="str">
        <f>IF(F26=0,Feedback_List!E61, " ")</f>
        <v>• Companies should have a list of emission reduction measure that cover both facility and corporate portfolio while completing scenario analysis to validate their contribution toward targets. Scenario analysis is essential for testing the resilience of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targets and uncovers.</v>
      </c>
      <c r="K26" s="423" t="str">
        <f>IF(F26=1,Feedback_List!F111,"")</f>
        <v/>
      </c>
      <c r="L26" s="354" t="str">
        <f>IF(F26=0,Feedback_List!E111,"")</f>
        <v>•Conduct a thorough assessment of future scenarios to better understand potential challenges and opportunities. This analysis would help you develop a more adaptive plan capable of responding to changing conditions.</v>
      </c>
    </row>
    <row r="27" spans="1:12">
      <c r="A27" s="373" t="str">
        <f>Milestone_5!J24</f>
        <v>Task 2</v>
      </c>
      <c r="B27" s="374" t="str">
        <f>"Milestone5-Task2:" &amp; " " &amp; Milestone_5!K24</f>
        <v>Milestone5-Task2: Update organizational standards and procedures</v>
      </c>
      <c r="C27" s="378">
        <f>Milestone_5!AI26</f>
        <v>0</v>
      </c>
      <c r="D27" s="378">
        <f>Milestone_5!AM8</f>
        <v>4</v>
      </c>
      <c r="E27" s="378">
        <f t="shared" si="0"/>
        <v>2</v>
      </c>
      <c r="F27" s="64">
        <f t="shared" si="1"/>
        <v>0</v>
      </c>
      <c r="G27" s="300" t="str">
        <f>IF(F27=1,B27, " ")</f>
        <v xml:space="preserve"> </v>
      </c>
      <c r="H27" s="240" t="str">
        <f t="shared" si="2"/>
        <v>Milestone5-Task2: Update organizational standards and procedures</v>
      </c>
      <c r="I27" s="309" t="str">
        <f>IF(F27=1, Feedback_List!F64, " ")</f>
        <v xml:space="preserve"> </v>
      </c>
      <c r="J27" s="62" t="str">
        <f>IF(F27=0, Feedback_List!E64, " ")</f>
        <v>•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factors that increasingly impact financial performance and regulatory compliance, requiring the development of internal capabilities through training, certification, and subject matter expertise to establish the human capital foundation necessary for successful emission reduction.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efforts builds stakeholder trust and creates competitive advantage in today's environmentally conscious marketplace.</v>
      </c>
      <c r="K27" s="309" t="str">
        <f>IF(F27=1,Feedback_List!F112,"")</f>
        <v/>
      </c>
      <c r="L27" s="240" t="str">
        <f>IF(F27=0,Feedback_List!E112,"")</f>
        <v>•Update your company standards around financing, governance, communication, and training to fully support implementation.</v>
      </c>
    </row>
    <row r="28" spans="1:12">
      <c r="A28" s="373" t="str">
        <f>Milestone_5!J87</f>
        <v>Task 3</v>
      </c>
      <c r="B28" s="374" t="str">
        <f>"Milestone5-Task3:" &amp; " " &amp; Milestone_5!K87</f>
        <v>Milestone5-Task3: Define financing and project deployment schedule</v>
      </c>
      <c r="C28" s="378">
        <f>Milestone_5!AI89</f>
        <v>0</v>
      </c>
      <c r="D28" s="378">
        <f>Milestone_5!AM9</f>
        <v>2</v>
      </c>
      <c r="E28" s="378">
        <f t="shared" si="0"/>
        <v>1</v>
      </c>
      <c r="F28" s="64">
        <f t="shared" si="1"/>
        <v>0</v>
      </c>
      <c r="G28" s="300" t="str">
        <f>IF(F28=1,B28, " ")</f>
        <v xml:space="preserve"> </v>
      </c>
      <c r="H28" s="240" t="str">
        <f t="shared" si="2"/>
        <v>Milestone5-Task3: Define financing and project deployment schedule</v>
      </c>
      <c r="I28" s="309" t="str">
        <f>IF(F28=1, Feedback_List!F73, " ")</f>
        <v xml:space="preserve"> </v>
      </c>
      <c r="J28" s="62" t="str">
        <f>IF(F28=0, Feedback_List!E73, " ")</f>
        <v>•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v>
      </c>
      <c r="K28" s="309" t="str">
        <f>IF(F28=1,Feedback_List!F113,"")</f>
        <v/>
      </c>
      <c r="L28" s="240" t="str">
        <f>IF(F28=0,Feedback_List!E113,"")</f>
        <v>•Clearly define your financing strategy for the plan, including potential funding sources and investment criteria. Developing a detailed project deployment schedule with clear timelines, responsibilities, and dependencies would significantly improve execution.</v>
      </c>
    </row>
    <row r="29" spans="1:12">
      <c r="A29" s="260" t="str">
        <f>Milestone_5!J110</f>
        <v>Task 4</v>
      </c>
      <c r="B29" s="346" t="str">
        <f>"Milestone5-Task4:" &amp; " " &amp; Milestone_5!K110</f>
        <v>Milestone5-Task4: Secure final buy-in from stakeholder and release plan</v>
      </c>
      <c r="C29" s="381">
        <f>Milestone_5!AI112</f>
        <v>0</v>
      </c>
      <c r="D29" s="381">
        <f>Milestone_5!AM10</f>
        <v>2</v>
      </c>
      <c r="E29" s="381">
        <f t="shared" si="0"/>
        <v>1</v>
      </c>
      <c r="F29" s="417">
        <f t="shared" si="1"/>
        <v>0</v>
      </c>
      <c r="G29" s="430" t="str">
        <f>IF(F29=1,B29, " ")</f>
        <v xml:space="preserve"> </v>
      </c>
      <c r="H29" s="349"/>
      <c r="I29" s="425" t="str">
        <f>IF(F29=1, Feedback_List!F77, " ")</f>
        <v xml:space="preserve"> </v>
      </c>
      <c r="J29" s="346" t="str">
        <f>IF(F29=0, Feedback_List!E77, " ")</f>
        <v>•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v>
      </c>
      <c r="K29" s="425" t="str">
        <f>IF(F29=1,Feedback_List!F114,"")</f>
        <v/>
      </c>
      <c r="L29" s="355" t="str">
        <f>IF(F29=0,Feedback_List!E114,"")</f>
        <v>•These enhancements would help secure stronger buy-in from stakeholders before officially releasing your emission reduction plan.</v>
      </c>
    </row>
    <row r="30" spans="1:12" ht="16.2" thickBot="1">
      <c r="A30" s="1091" t="s">
        <v>436</v>
      </c>
      <c r="B30" s="1091"/>
      <c r="C30" s="270">
        <f>SUM(C26:C29)</f>
        <v>0</v>
      </c>
      <c r="D30" s="270">
        <f>SUM(D26:D29)</f>
        <v>15</v>
      </c>
      <c r="E30" s="270">
        <f>SUM(E26:E29)</f>
        <v>7.5</v>
      </c>
      <c r="F30" s="418"/>
      <c r="G30" s="366" t="str">
        <f t="shared" ref="G30:L30" si="6">_xlfn.TEXTJOIN(CHAR(10),TRUE,G26,G27,G28,G29)</f>
        <v xml:space="preserve"> 
 </v>
      </c>
      <c r="H30" s="366" t="str">
        <f t="shared" si="6"/>
        <v>Milestone5-Task1: Assess scenarios and select pathway
Milestone5-Task2: Update organizational standards and procedures
Milestone5-Task3: Define financing and project deployment schedule</v>
      </c>
      <c r="I30" s="368" t="str">
        <f t="shared" si="6"/>
        <v xml:space="preserve"> 
 </v>
      </c>
      <c r="J30" s="408" t="str">
        <f t="shared" si="6"/>
        <v>• Companies should have a list of emission reduction measure that cover both facility and corporate portfolio while completing scenario analysis to validate their contribution toward targets. Scenario analysis is essential for testing the resilience of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targets and uncovers.
•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factors that increasingly impact financial performance and regulatory compliance, requiring the development of internal capabilities through training, certification, and subject matter expertise to establish the human capital foundation necessary for successful emission reduction.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efforts builds stakeholder trust and creates competitive advantage in today's environmentally conscious marketplace.
•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
•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v>
      </c>
      <c r="K30" s="368" t="str">
        <f t="shared" si="6"/>
        <v/>
      </c>
      <c r="L30" s="433" t="str">
        <f t="shared" si="6"/>
        <v>•Conduct a thorough assessment of future scenarios to better understand potential challenges and opportunities. This analysis would help you develop a more adaptive plan capable of responding to changing conditions.
•Update your company standards around financing, governance, communication, and training to fully support implementation.
•Clearly define your financing strategy for the plan, including potential funding sources and investment criteria. Developing a detailed project deployment schedule with clear timelines, responsibilities, and dependencies would significantly improve execution.
•These enhancements would help secure stronger buy-in from stakeholders before officially releasing your emission reduction plan.</v>
      </c>
    </row>
    <row r="31" spans="1:12" s="29" customFormat="1" ht="16.2" thickTop="1">
      <c r="A31" s="1092" t="str">
        <f>Ongoing_Implementation!I2</f>
        <v xml:space="preserve">Milestone 6: Ongoing Implementation </v>
      </c>
      <c r="B31" s="1093"/>
      <c r="C31" s="29" t="s">
        <v>468</v>
      </c>
      <c r="D31" s="29" t="s">
        <v>470</v>
      </c>
      <c r="E31" s="29" t="s">
        <v>469</v>
      </c>
      <c r="F31" s="29" t="s">
        <v>472</v>
      </c>
      <c r="G31" s="422"/>
      <c r="H31" s="299"/>
      <c r="I31" s="422"/>
      <c r="J31" s="267"/>
      <c r="K31" s="368"/>
      <c r="L31" s="427"/>
    </row>
    <row r="32" spans="1:12">
      <c r="A32" s="373" t="str">
        <f>Ongoing_Implementation!J5</f>
        <v>Task 1</v>
      </c>
      <c r="B32" s="374" t="str">
        <f>"Milestone6-Task1:" &amp; " " &amp; Ongoing_Implementation!K5</f>
        <v xml:space="preserve">Milestone6-Task1: Develop work plan </v>
      </c>
      <c r="C32" s="378">
        <f>Ongoing_Implementation!AH7</f>
        <v>0</v>
      </c>
      <c r="D32" s="378">
        <f>Ongoing_Implementation!AL7</f>
        <v>2</v>
      </c>
      <c r="E32" s="378">
        <f t="shared" si="0"/>
        <v>1</v>
      </c>
      <c r="F32" s="64">
        <f t="shared" si="1"/>
        <v>0</v>
      </c>
      <c r="G32" s="431" t="str">
        <f>IF(F32=1,B32, " ")</f>
        <v xml:space="preserve"> </v>
      </c>
      <c r="H32" s="348" t="str">
        <f t="shared" si="2"/>
        <v xml:space="preserve">Milestone6-Task1: Develop work plan </v>
      </c>
      <c r="I32" s="423" t="str">
        <f>IF(F32=1,Feedback_List!F80, " ")</f>
        <v xml:space="preserve"> </v>
      </c>
      <c r="J32" s="350" t="str">
        <f>IF(F32=0,Feedback_List!E80, " ")</f>
        <v>•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v>
      </c>
      <c r="K32" s="423" t="str">
        <f>IF(F32=1,Feedback_List!F116,"")</f>
        <v/>
      </c>
      <c r="L32" s="354" t="str">
        <f>IF(F32=0,Feedback_List!E116,"")</f>
        <v>•Develop a detailed work plan that clearly outlines how projects will be deployed across your organization. This should include specific timelines, responsibilities, resource requirements, and dependencies.</v>
      </c>
    </row>
    <row r="33" spans="1:12">
      <c r="A33" s="331" t="str">
        <f>Ongoing_Implementation!J25</f>
        <v>Task 2</v>
      </c>
      <c r="B33" s="62" t="str">
        <f>"Milestone6-Task2:" &amp; " " &amp; Ongoing_Implementation!K25</f>
        <v>Milestone6-Task2: Measure and verify GHG emissions reductions</v>
      </c>
      <c r="C33" s="378">
        <f>Ongoing_Implementation!AH27</f>
        <v>0</v>
      </c>
      <c r="D33" s="378">
        <f>Ongoing_Implementation!AL8</f>
        <v>1</v>
      </c>
      <c r="E33" s="378">
        <f t="shared" si="0"/>
        <v>0.5</v>
      </c>
      <c r="F33" s="64">
        <f t="shared" si="1"/>
        <v>0</v>
      </c>
      <c r="G33" s="300" t="str">
        <f>IF(F33=1,B33, " ")</f>
        <v xml:space="preserve"> </v>
      </c>
      <c r="H33" s="301"/>
      <c r="I33" s="309" t="str">
        <f>IF(F33=1, Feedback_List!F84, " ")</f>
        <v xml:space="preserve"> </v>
      </c>
      <c r="J33" s="62" t="str">
        <f>IF(F33=0, Feedback_List!E84, " ")</f>
        <v>• Measuring emission reductions in ERP systems enables accurate environmental impact tracking, regulatory compliance, credible sustainability reporting, enhanced stakeholder trust, and data-informed decision-making for future initiatives as environmental standards evolve.</v>
      </c>
      <c r="K33" s="309" t="str">
        <f>IF(F33=1,Feedback_List!F117,"")</f>
        <v/>
      </c>
      <c r="L33" s="240" t="str">
        <f>IF(F33=0,Feedback_List!E117,"")</f>
        <v>•Consider establishing a robust measurement and verification system to accurately track emission reductions achieved by each initiative, which would provide critical data on effectiveness and ROI.</v>
      </c>
    </row>
    <row r="34" spans="1:12">
      <c r="A34" s="331" t="str">
        <f>Ongoing_Implementation!J32</f>
        <v>Task 3</v>
      </c>
      <c r="B34" s="62" t="str">
        <f>"Milestone6-Task3:" &amp; " " &amp; Ongoing_Implementation!K32</f>
        <v>Milestone6-Task3: Document and share key learnings from project implementation</v>
      </c>
      <c r="C34" s="378">
        <f>Ongoing_Implementation!AH34</f>
        <v>0</v>
      </c>
      <c r="D34" s="378">
        <f>Ongoing_Implementation!AL9</f>
        <v>1</v>
      </c>
      <c r="E34" s="378">
        <f t="shared" si="0"/>
        <v>0.5</v>
      </c>
      <c r="F34" s="64">
        <f t="shared" si="1"/>
        <v>0</v>
      </c>
      <c r="G34" s="300" t="str">
        <f>IF(F34=1,B34, " ")</f>
        <v xml:space="preserve"> </v>
      </c>
      <c r="H34" s="301"/>
      <c r="I34" s="309" t="str">
        <f>IF(F34=1, Feedback_List!F86, " " )</f>
        <v xml:space="preserve"> </v>
      </c>
      <c r="J34" s="62" t="str">
        <f>IF(F34=0, Feedback_List!E86, " " )</f>
        <v>• Capturing and sharing key learnings from ERP implementations through structured knowledge management systems prevents repetition of past mistakes and preserves valuable institutional knowledge.</v>
      </c>
      <c r="K34" s="309" t="str">
        <f>IF(F34=1,Feedback_List!F118,"")</f>
        <v/>
      </c>
      <c r="L34" s="240" t="str">
        <f>IF(F34=0,Feedback_List!E118,"")</f>
        <v>•Create formal process to document and share key learnings from project implementation throughout your organization, helping to improve future projects and build institutional knowledge.</v>
      </c>
    </row>
    <row r="35" spans="1:12">
      <c r="A35" s="260" t="str">
        <f>Ongoing_Implementation!J40</f>
        <v>Task 4</v>
      </c>
      <c r="B35" s="346" t="str">
        <f>"Milestone6-Task4:" &amp; " " &amp; Ongoing_Implementation!K40</f>
        <v>Milestone6-Task4: Continuous evaluation of circumstances and revision of ERP</v>
      </c>
      <c r="C35" s="381">
        <f>Ongoing_Implementation!AH42</f>
        <v>0</v>
      </c>
      <c r="D35" s="381">
        <f>Ongoing_Implementation!AL10</f>
        <v>1</v>
      </c>
      <c r="E35" s="381">
        <f t="shared" si="0"/>
        <v>0.5</v>
      </c>
      <c r="F35" s="417">
        <f t="shared" si="1"/>
        <v>0</v>
      </c>
      <c r="G35" s="300" t="str">
        <f>IF(F35=1,B35, " ")</f>
        <v xml:space="preserve"> </v>
      </c>
      <c r="H35" s="349"/>
      <c r="I35" s="425" t="str">
        <f>IF(F35=1,Feedback_List!F88, " ")</f>
        <v xml:space="preserve"> </v>
      </c>
      <c r="J35" s="346" t="str">
        <f>IF(F35=0,Feedback_List!E88, " ")</f>
        <v>•Regular 2-4 year ERP system updates ensure alignment with evolving energy markets, incorporate emerging technologies and efficiency standards, prevent performance degradation, optimize resource allocation, reduce carbon footprint, and enhance adaptability to market disruptions.</v>
      </c>
      <c r="K35" s="425" t="str">
        <f>IF(F35=1,Feedback_List!F119,"")</f>
        <v/>
      </c>
      <c r="L35" s="355" t="str">
        <f>IF(F35=0,Feedback_List!E119,"")</f>
        <v>•Implement a continuous evaluation mechanism that would allow you to regularly assess whether changes or updates are needed to your emission reduction plan based on implementation experiences, new technologies, or changing business conditions.</v>
      </c>
    </row>
    <row r="36" spans="1:12" ht="16.2" thickBot="1">
      <c r="A36" s="1091" t="s">
        <v>436</v>
      </c>
      <c r="B36" s="1091"/>
      <c r="C36" s="270">
        <f>SUM(C32:C35)</f>
        <v>0</v>
      </c>
      <c r="D36" s="270">
        <f>SUM(D32:D35)</f>
        <v>5</v>
      </c>
      <c r="E36" s="270">
        <f>SUM(E32:E35)</f>
        <v>2.5</v>
      </c>
      <c r="F36" s="418"/>
      <c r="G36" s="366" t="str">
        <f t="shared" ref="G36:L36" si="7">_xlfn.TEXTJOIN(CHAR(10),TRUE,G32,G33,G34,G35)</f>
        <v xml:space="preserve"> 
 </v>
      </c>
      <c r="H36" s="366" t="str">
        <f t="shared" si="7"/>
        <v xml:space="preserve">Milestone6-Task1: Develop work plan </v>
      </c>
      <c r="I36" s="369" t="str">
        <f t="shared" si="7"/>
        <v xml:space="preserve"> 
 </v>
      </c>
      <c r="J36" s="409" t="str">
        <f t="shared" si="7"/>
        <v>•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
• Measuring emission reductions in ERP systems enables accurate environmental impact tracking, regulatory compliance, credible sustainability reporting, enhanced stakeholder trust, and data-informed decision-making for future initiatives as environmental standards evolve.
• Capturing and sharing key learnings from ERP implementations through structured knowledge management systems prevents repetition of past mistakes and preserves valuable institutional knowledge.
•Regular 2-4 year ERP system updates ensure alignment with evolving energy markets, incorporate emerging technologies and efficiency standards, prevent performance degradation, optimize resource allocation, reduce carbon footprint, and enhance adaptability to market disruptions.</v>
      </c>
      <c r="K36" s="368" t="str">
        <f t="shared" si="7"/>
        <v/>
      </c>
      <c r="L36" s="433" t="str">
        <f t="shared" si="7"/>
        <v>•Develop a detailed work plan that clearly outlines how projects will be deployed across your organization. This should include specific timelines, responsibilities, resource requirements, and dependencies.
•Consider establishing a robust measurement and verification system to accurately track emission reductions achieved by each initiative, which would provide critical data on effectiveness and ROI.
•Create formal process to document and share key learnings from project implementation throughout your organization, helping to improve future projects and build institutional knowledge.
•Implement a continuous evaluation mechanism that would allow you to regularly assess whether changes or updates are needed to your emission reduction plan based on implementation experiences, new technologies, or changing business conditions.</v>
      </c>
    </row>
    <row r="37" spans="1:12" ht="16.2" thickTop="1" thickBot="1">
      <c r="G37" s="300"/>
      <c r="H37" s="147"/>
      <c r="K37" s="300"/>
      <c r="L37" s="301"/>
    </row>
    <row r="38" spans="1:12">
      <c r="G38" s="371" t="s">
        <v>478</v>
      </c>
      <c r="H38" s="371" t="s">
        <v>477</v>
      </c>
      <c r="K38" s="420" t="s">
        <v>478</v>
      </c>
      <c r="L38" s="421" t="s">
        <v>477</v>
      </c>
    </row>
    <row r="39" spans="1:12" ht="409.6" thickBot="1">
      <c r="G39" s="415" t="str">
        <f>_xlfn.TEXTJOIN(CHAR(10),TRUE,G3:G6,G9:G12,G15,G16,G19:G23,G26:G29,G32:G35)</f>
        <v xml:space="preserve"> 
 </v>
      </c>
      <c r="H39" s="415" t="str">
        <f>_xlfn.TEXTJOIN(CHAR(10),TRUE,H3,H4,H10,H11,H15,H16,H19,H22,H26,H27,H28,H32)</f>
        <v xml:space="preserve">Milestone1-Task1: Identify and engage stakeholders 
Milestone1-Task2: Establish a GHG emissions inventory management plan
Milestone2-Task2: Identify and quantify GHG emissions for Significant Greenhouse Gas Emitters (SGEs) 
Milestone2-Task3: Benchmark Significant Greenhouse Gas Emitters (SGEs) 
Milestone3-Task1: Facility level GHG emissions reduction assessment planning
Milestone3-Task2: Portfolio level GHG emissions reduction assessment planning
Milestone4-Task1: Establish scenario parameters
Milestone4-Task4: Define scenarios
Milestone5-Task1: Assess scenarios and select pathway
Milestone5-Task2: Update organizational standards and procedures
Milestone5-Task3: Define financing and project deployment schedule
Milestone6-Task1: Develop work plan </v>
      </c>
      <c r="K39" s="428" t="str">
        <f>_xlfn.TEXTJOIN(CHAR(10),TRUE,K7,K13,K17,K24,K30,K36)</f>
        <v/>
      </c>
      <c r="L39" s="428" t="str">
        <f>_xlfn.TEXTJOIN(CHAR(10),TRUE,L7,L13,L17,L24,L30,L36)</f>
        <v>•Companies benefit from broader stakeholder engagement, including both internal teams (executives, finance, engineers) and external experts to ensure organizational alignment and bring specialized knowledge to your initiatives.
•Consider developing a more robust GHG inventory by establishing a Protocol-aligned accounting framework that thoroughly maps all entities and operations while implementing a centralized tracking system with regular reporting schedules.
•Set more ambitious emission reduction targets that could drive innovation while potentially reducing costs through optimized processes.
•A standardized assessment matrix would help prioritize projects based on reduction potential, costs, ROI, and strategic alignment, while considering valuable co-benefits beyond carbon reduction.
•Identifying key characteristics within your portfolio to establish clear prioritization criteria. This would help focus your resources on the most impactful initiatives first.
•Consider conducting a thorough assessment to identify significant systems and processes with high emissions, as targeting these areas would yield substantial reductions.
•Implementing benchmarking activities would allow you to compare your performance against industry best practices and standards, revealing important improvement opportunities and setting appropriate targets.
•Conduct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
•Establish multiple scenarios that could affect your emission reduction efforts. Developing these alternative futures would create more resilient planning that accounts for uncertainties in technology, markets,cost and regulations, and other external factors. 
•Identify potential business portfolio changes—such as acquisitions, divestitures, or new product lines—could significantly impact your emissions profile.
•Once these scenarios and portfolio changes are outlined, evaluating their effects on your emission reduction trajectory would allow for more adaptive planning rather than a single rigid pathway. This scenario-based methodology would help future-proof your climate strategy, ensuring it remains relevant and effective despite changing business conditions.
•Conduct a thorough assessment of future scenarios to better understand potential challenges and opportunities. This analysis would help you develop a more adaptive plan capable of responding to changing conditions.
•Update your company standards around financing, governance, communication, and training to fully support implementation.
•Clearly define your financing strategy for the plan, including potential funding sources and investment criteria. Developing a detailed project deployment schedule with clear timelines, responsibilities, and dependencies would significantly improve execution.
•These enhancements would help secure stronger buy-in from stakeholders before officially releasing your emission reduction plan.
•Develop a detailed work plan that clearly outlines how projects will be deployed across your organization. This should include specific timelines, responsibilities, resource requirements, and dependencies.
•Consider establishing a robust measurement and verification system to accurately track emission reductions achieved by each initiative, which would provide critical data on effectiveness and ROI.
•Create formal process to document and share key learnings from project implementation throughout your organization, helping to improve future projects and build institutional knowledge.
•Implement a continuous evaluation mechanism that would allow you to regularly assess whether changes or updates are needed to your emission reduction plan based on implementation experiences, new technologies, or changing business conditions.</v>
      </c>
    </row>
  </sheetData>
  <mergeCells count="15">
    <mergeCell ref="I1:J1"/>
    <mergeCell ref="K1:L1"/>
    <mergeCell ref="A36:B36"/>
    <mergeCell ref="A31:B31"/>
    <mergeCell ref="A2:B2"/>
    <mergeCell ref="A25:B25"/>
    <mergeCell ref="A18:B18"/>
    <mergeCell ref="A14:B14"/>
    <mergeCell ref="A8:B8"/>
    <mergeCell ref="A7:B7"/>
    <mergeCell ref="A13:B13"/>
    <mergeCell ref="A17:B17"/>
    <mergeCell ref="A24:B24"/>
    <mergeCell ref="A30:B30"/>
    <mergeCell ref="G1:H1"/>
  </mergeCells>
  <phoneticPr fontId="5" type="noConversion"/>
  <pageMargins left="0.7" right="0.7" top="0.75" bottom="0.75" header="0.3" footer="0.3"/>
</worksheet>
</file>

<file path=docMetadata/LabelInfo.xml><?xml version="1.0" encoding="utf-8"?>
<clbl:labelList xmlns:clbl="http://schemas.microsoft.com/office/2020/mipLabelMetadata">
  <clbl:label id="{db3dbd43-4c4b-4544-9f8a-0553f9f5f25e}" enabled="0" method="" siteId="{db3dbd43-4c4b-4544-9f8a-0553f9f5f2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Disclaimer</vt:lpstr>
      <vt:lpstr>Concept</vt:lpstr>
      <vt:lpstr>Instructions</vt:lpstr>
      <vt:lpstr>Company_Information</vt:lpstr>
      <vt:lpstr>Milestone_1</vt:lpstr>
      <vt:lpstr>Milestone_2</vt:lpstr>
      <vt:lpstr>Milestone_3</vt:lpstr>
      <vt:lpstr>Milestone_4</vt:lpstr>
      <vt:lpstr>Export_Result</vt:lpstr>
      <vt:lpstr>Milestone_5</vt:lpstr>
      <vt:lpstr>Ongoing_Implementation</vt:lpstr>
      <vt:lpstr>Results</vt:lpstr>
      <vt:lpstr>TechnologyPhasingCurve</vt:lpstr>
      <vt:lpstr>Resources</vt:lpstr>
      <vt:lpstr>Feedback_List</vt:lpstr>
      <vt:lpstr>DropdownORNamemanagerLists</vt:lpstr>
      <vt:lpstr>MilestoneGraphs_Calc</vt:lpstr>
      <vt:lpstr>Milestone_Results_Summary</vt:lpstr>
      <vt:lpstr>End_Use</vt:lpstr>
      <vt:lpstr>End_Year</vt:lpstr>
      <vt:lpstr>FilteredEndYear</vt:lpstr>
      <vt:lpstr>FilteredStartYear</vt:lpstr>
      <vt:lpstr>Hyperlink_GHG_Protocol</vt:lpstr>
      <vt:lpstr>Internal_stakeholders</vt:lpstr>
      <vt:lpstr>NAICS_Code_a</vt:lpstr>
      <vt:lpstr>Option_menu</vt:lpstr>
      <vt:lpstr>Start_Year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 Paulomi</dc:creator>
  <cp:keywords/>
  <dc:description/>
  <cp:lastModifiedBy>Nandy, Paulomi</cp:lastModifiedBy>
  <cp:revision/>
  <cp:lastPrinted>2025-03-04T14:31:42Z</cp:lastPrinted>
  <dcterms:created xsi:type="dcterms:W3CDTF">2025-01-09T20:46:40Z</dcterms:created>
  <dcterms:modified xsi:type="dcterms:W3CDTF">2025-08-15T15:21:35Z</dcterms:modified>
  <cp:category/>
  <cp:contentStatus/>
</cp:coreProperties>
</file>