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xml"/>
  <Override PartName="/xl/comments3.xml" ContentType="application/vnd.openxmlformats-officedocument.spreadsheetml.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codeName="ThisWorkbook"/>
  <mc:AlternateContent xmlns:mc="http://schemas.openxmlformats.org/markup-compatibility/2006">
    <mc:Choice Requires="x15">
      <x15ac:absPath xmlns:x15ac="http://schemas.microsoft.com/office/spreadsheetml/2010/11/ac" url="/Users/twf/Downloads/"/>
    </mc:Choice>
  </mc:AlternateContent>
  <xr:revisionPtr revIDLastSave="0" documentId="13_ncr:1_{0D9115FC-76F6-3544-9648-DE12338ED826}" xr6:coauthVersionLast="47" xr6:coauthVersionMax="47" xr10:uidLastSave="{00000000-0000-0000-0000-000000000000}"/>
  <bookViews>
    <workbookView xWindow="0" yWindow="500" windowWidth="25900" windowHeight="17880" xr2:uid="{B3B8A38D-7C2C-4653-9925-74C596138153}"/>
  </bookViews>
  <sheets>
    <sheet name="Disclaimer" sheetId="13" r:id="rId1"/>
    <sheet name="Concept" sheetId="12" r:id="rId2"/>
    <sheet name="Company_Information" sheetId="11" r:id="rId3"/>
    <sheet name="Instructions" sheetId="4" r:id="rId4"/>
    <sheet name="Milestone_1" sheetId="1" r:id="rId5"/>
    <sheet name="Milestone_2" sheetId="3" r:id="rId6"/>
    <sheet name="Milestone_3" sheetId="5" r:id="rId7"/>
    <sheet name="Milestone_4" sheetId="6" r:id="rId8"/>
    <sheet name="DropdownORNamemanagerLists" sheetId="2" state="hidden" r:id="rId9"/>
    <sheet name="Milestone_5" sheetId="7" r:id="rId10"/>
    <sheet name="Ongoing_Implementation" sheetId="14" r:id="rId11"/>
    <sheet name="Results" sheetId="9" r:id="rId12"/>
    <sheet name="MilestoneGraphs_Calc" sheetId="18" state="hidden" r:id="rId13"/>
    <sheet name="TechnologyPhasingCurve" sheetId="16" state="hidden" r:id="rId14"/>
    <sheet name="Resources" sheetId="19" r:id="rId15"/>
    <sheet name="Export_Result" sheetId="20" state="hidden" r:id="rId16"/>
    <sheet name="Milestone_Results_Summary" sheetId="17" state="hidden" r:id="rId17"/>
    <sheet name="Feedback_List" sheetId="15" state="hidden" r:id="rId18"/>
  </sheets>
  <definedNames>
    <definedName name="_xlnm._FilterDatabase" localSheetId="17" hidden="1">Feedback_List!$A$1:$E$89</definedName>
    <definedName name="Baseline">OFFSET(TechnologyPhasingCurve!$C$19, 0, 0, 1, COUNT(TechnologyPhasingCurve!$C$18:$AQ$18))</definedName>
    <definedName name="CCUS" xml:space="preserve"> OFFSET(TechnologyPhasingCurve!$C$27, 0, 0, 1, COUNT(TechnologyPhasingCurve!$C$18:$AQ$18))</definedName>
    <definedName name="ChartXAxis">OFFSET(TechnologyPhasingCurve!$C$18, 0, 0, 1, COUNT(TechnologyPhasingCurve!$C$18:$AQ$18))</definedName>
    <definedName name="Electrification_Tech" xml:space="preserve"> OFFSET(TechnologyPhasingCurve!$C$21, 0, 0, 1, COUNT(TechnologyPhasingCurve!$C$18:$AQ$18))</definedName>
    <definedName name="EmissionGoal" localSheetId="13">OFFSET(TechnologyPhasingCurve!$C$3, 0, 0, 1, COUNT(TechnologyPhasingCurve!XEX1048559:AH1048559))</definedName>
    <definedName name="End_Use">DropdownORNamemanagerLists!$B$20:$B$58</definedName>
    <definedName name="End_Year">DropdownORNamemanagerLists!$C$61:$C$99</definedName>
    <definedName name="Energy_Efficiency" xml:space="preserve"> OFFSET(TechnologyPhasingCurve!$C$20, 0, 0, 1, COUNT(TechnologyPhasingCurve!$C$18:$AQ$18))</definedName>
    <definedName name="FilteredEndYear">DropdownORNamemanagerLists!$E$61</definedName>
    <definedName name="FilteredStartYear">DropdownORNamemanagerLists!$D$61</definedName>
    <definedName name="Fugitive_Emissions" xml:space="preserve"> OFFSET(TechnologyPhasingCurve!$C$25, 0, 0, 1, COUNT(TechnologyPhasingCurve!$C$18:$AQ$18))</definedName>
    <definedName name="Grid_Resiliency" xml:space="preserve"> OFFSET(TechnologyPhasingCurve!$C$26, 0, 0, 1, COUNT(TechnologyPhasingCurve!$C$18:$AQ$18))</definedName>
    <definedName name="Hyperlink_GHG_Protocol">Feedback_List!$D$6</definedName>
    <definedName name="Internal_stakeholders">DropdownORNamemanagerLists!$B$3:$B$10</definedName>
    <definedName name="Low_Carbon_Fuels" xml:space="preserve"> OFFSET(TechnologyPhasingCurve!$C$24, 0, 0, 1, COUNT(TechnologyPhasingCurve!$C$18:$AQ$18))</definedName>
    <definedName name="ModifiedEndYearList">OFFSET(DropdownORNamemanagerLists!$C$62, MATCH(Milestone_1!$P$103+1, DropdownORNamemanagerLists!$C$62:$C$99, 0)-1, 0, MATCH(Milestone_1!$R$103, DropdownORNamemanagerLists!$C$62:$C$99, 1)-MATCH(Milestone_1!$P$103+1, DropdownORNamemanagerLists!$C$62:$C$99, 0)+1, 1)</definedName>
    <definedName name="ModifiedStartYearList">OFFSET(DropdownORNamemanagerLists!$B$62, MATCH(Milestone_1!$P$103, DropdownORNamemanagerLists!$B$62:$B$99, 0)-1, 0, MATCH(Milestone_1!$R$103, DropdownORNamemanagerLists!$B$62:$B$99, 1)-MATCH(Milestone_1!$P$103, DropdownORNamemanagerLists!$B$62:$B$99, 0), 1)</definedName>
    <definedName name="NAICS_Code_a">DropdownORNamemanagerLists!$C$20:$C$58</definedName>
    <definedName name="Option_menu">DropdownORNamemanagerLists!$B$13:$B$17</definedName>
    <definedName name="RE_Production" xml:space="preserve"> OFFSET(TechnologyPhasingCurve!$C$23, 0, 0, 1, COUNT(TechnologyPhasingCurve!$C$18:$AQ$18))</definedName>
    <definedName name="Scope_Baseline" localSheetId="13">OFFSET(TechnologyPhasingCurve!$C$19, 0, 0, 1, COUNT(TechnologyPhasingCurve!$C$18:$AQ$18))</definedName>
    <definedName name="Scope_CCUS" localSheetId="13" xml:space="preserve"> OFFSET(TechnologyPhasingCurve!$C$27, 0, 0, 1, COUNT(TechnologyPhasingCurve!$C$18:$AQ$18))</definedName>
    <definedName name="Scope_ChartXAxis" localSheetId="13">OFFSET(TechnologyPhasingCurve!$C$18, 0, 0, 1, COUNT(TechnologyPhasingCurve!$C$18:$AQ$18))</definedName>
    <definedName name="Scope_Electrification_Tech" localSheetId="13" xml:space="preserve"> OFFSET(TechnologyPhasingCurve!$C$21, 0, 0, 1, COUNT(TechnologyPhasingCurve!$C$18:$AQ$18))</definedName>
    <definedName name="Scope_Emission_Reduction_Goal" localSheetId="13" xml:space="preserve"> OFFSET(TechnologyPhasingCurve!$C$28, 0, 0, 1,COUNT(TechnologyPhasingCurve!$C$18:$AQ$18))</definedName>
    <definedName name="Scope_Energy_Efficiency" localSheetId="13" xml:space="preserve"> OFFSET(TechnologyPhasingCurve!$C$20, 0, 0, 1, COUNT(TechnologyPhasingCurve!$C$18:$AQ$18))</definedName>
    <definedName name="Scope_Fugitive_Emission" localSheetId="13" xml:space="preserve"> OFFSET(TechnologyPhasingCurve!$C$25, 0, 0, 1, COUNT(TechnologyPhasingCurve!$C$18:$AQ$18))</definedName>
    <definedName name="Scope_Grid_Resiliency" localSheetId="13" xml:space="preserve"> OFFSET(TechnologyPhasingCurve!$C$26, 0, 0, 1, COUNT(TechnologyPhasingCurve!$C$18:$AQ$18))</definedName>
    <definedName name="Scope_Low_Carbon_Fuels" localSheetId="13" xml:space="preserve"> OFFSET(TechnologyPhasingCurve!$C$24, 0, 0, 1, COUNT(TechnologyPhasingCurve!$C$18:$AQ$18))</definedName>
    <definedName name="Scope_Onsite_RE_Gen" localSheetId="13" xml:space="preserve"> OFFSET(TechnologyPhasingCurve!$C$22, 0, 0, 1, COUNT(TechnologyPhasingCurve!$C$18:$AQ$18))</definedName>
    <definedName name="Scope_RE_procurement" localSheetId="13" xml:space="preserve"> OFFSET(TechnologyPhasingCurve!$C$23, 0, 0, 1, COUNT(TechnologyPhasingCurve!$C$18:$AQ$18))</definedName>
    <definedName name="Start_Year">DropdownORNamemanagerLists!$B$61:$B$99</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6" i="1" l="1"/>
  <c r="AH9" i="1"/>
  <c r="AB9" i="1"/>
  <c r="AH10" i="1"/>
  <c r="AH11" i="1"/>
  <c r="AH12" i="1"/>
  <c r="AH13" i="1"/>
  <c r="AH14" i="1"/>
  <c r="AH15" i="1"/>
  <c r="AH17" i="1"/>
  <c r="AH18" i="1"/>
  <c r="AH19" i="1"/>
  <c r="AH20" i="1"/>
  <c r="AH21" i="1"/>
  <c r="AH22" i="1"/>
  <c r="Q21" i="7"/>
  <c r="AE15" i="9"/>
  <c r="AQ17" i="6"/>
  <c r="AP17" i="6"/>
  <c r="AO17" i="6"/>
  <c r="AN17" i="6"/>
  <c r="AM17" i="6"/>
  <c r="AQ11" i="6"/>
  <c r="AP11" i="6"/>
  <c r="AO11" i="6"/>
  <c r="AN11" i="6"/>
  <c r="AM11" i="6"/>
  <c r="E8" i="16"/>
  <c r="D8" i="16"/>
  <c r="C8" i="16"/>
  <c r="B8" i="16"/>
  <c r="G8" i="16" s="1"/>
  <c r="B22" i="16" s="1"/>
  <c r="J10" i="20"/>
  <c r="J11" i="20"/>
  <c r="J21" i="20"/>
  <c r="J22" i="20"/>
  <c r="J23" i="20"/>
  <c r="J24" i="20"/>
  <c r="I10" i="20"/>
  <c r="I11" i="20"/>
  <c r="I21" i="20"/>
  <c r="I22" i="20"/>
  <c r="I23" i="20"/>
  <c r="I24" i="20"/>
  <c r="F21" i="20"/>
  <c r="H21" i="20"/>
  <c r="F22" i="20"/>
  <c r="H22" i="20"/>
  <c r="F23" i="20"/>
  <c r="H23" i="20"/>
  <c r="F24" i="20"/>
  <c r="H24" i="20"/>
  <c r="AG95" i="7"/>
  <c r="AG20" i="7"/>
  <c r="AG19" i="7"/>
  <c r="AG18" i="7"/>
  <c r="AG17" i="7"/>
  <c r="AG22" i="7"/>
  <c r="F18" i="20"/>
  <c r="F19" i="20"/>
  <c r="F20" i="20"/>
  <c r="F17" i="20"/>
  <c r="H17" i="20"/>
  <c r="H18" i="20"/>
  <c r="H19" i="20"/>
  <c r="H20" i="20"/>
  <c r="AM82" i="6"/>
  <c r="AM71" i="6"/>
  <c r="AM63" i="6"/>
  <c r="AM56" i="6"/>
  <c r="AM45" i="6"/>
  <c r="AM43" i="6"/>
  <c r="AM44" i="6"/>
  <c r="F12" i="20"/>
  <c r="H12" i="20"/>
  <c r="F13" i="20"/>
  <c r="H13" i="20"/>
  <c r="F14" i="20"/>
  <c r="H14" i="20"/>
  <c r="F15" i="20"/>
  <c r="H15" i="20"/>
  <c r="F16" i="20"/>
  <c r="H16" i="20"/>
  <c r="AM24" i="6"/>
  <c r="F10" i="20"/>
  <c r="H10" i="20"/>
  <c r="F11" i="20"/>
  <c r="H11" i="20"/>
  <c r="H6" i="20"/>
  <c r="H7" i="20"/>
  <c r="H8" i="20"/>
  <c r="H9" i="20"/>
  <c r="F6" i="20"/>
  <c r="F7" i="20"/>
  <c r="F8" i="20"/>
  <c r="F9" i="20"/>
  <c r="H2" i="20"/>
  <c r="H3" i="20"/>
  <c r="H4" i="20"/>
  <c r="H5" i="20"/>
  <c r="F2" i="20"/>
  <c r="F3" i="20"/>
  <c r="F4" i="20"/>
  <c r="F5" i="20"/>
  <c r="H8" i="16" l="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 r="AQ8" i="16" s="1"/>
  <c r="AR8" i="16" s="1"/>
  <c r="AS8" i="16" s="1"/>
  <c r="AT8" i="16" s="1"/>
  <c r="AH117" i="1"/>
  <c r="AE47" i="3"/>
  <c r="AH140" i="1"/>
  <c r="AH131" i="1"/>
  <c r="AH130" i="1"/>
  <c r="AH128" i="1"/>
  <c r="AH127" i="1"/>
  <c r="AH126" i="1"/>
  <c r="AH125" i="1"/>
  <c r="AH124" i="1"/>
  <c r="AH104" i="1"/>
  <c r="AH103" i="1"/>
  <c r="AH102" i="1"/>
  <c r="AE40" i="3"/>
  <c r="E61" i="2" a="1"/>
  <c r="E61" i="2" s="1"/>
  <c r="D61" i="2" a="1"/>
  <c r="D61" i="2" s="1"/>
  <c r="AF50" i="5"/>
  <c r="A57" i="15"/>
  <c r="A56" i="15"/>
  <c r="AE43" i="3"/>
  <c r="AE41" i="3"/>
  <c r="AE42" i="3"/>
  <c r="AF95" i="5"/>
  <c r="AF82" i="5"/>
  <c r="AF77" i="5"/>
  <c r="AH89" i="1"/>
  <c r="AH90" i="1"/>
  <c r="AH91" i="1"/>
  <c r="AH92" i="1"/>
  <c r="AH88" i="1"/>
  <c r="AH83" i="1"/>
  <c r="AH84" i="1"/>
  <c r="AH85" i="1"/>
  <c r="AH86" i="1"/>
  <c r="AH82" i="1"/>
  <c r="AH80" i="1"/>
  <c r="AH77" i="1"/>
  <c r="AH78" i="1"/>
  <c r="AH79" i="1"/>
  <c r="AH76" i="1"/>
  <c r="AH74" i="1"/>
  <c r="AH71" i="1"/>
  <c r="AH72" i="1"/>
  <c r="AH73" i="1"/>
  <c r="AH70" i="1"/>
  <c r="AH65" i="1"/>
  <c r="AH66" i="1"/>
  <c r="AH67" i="1"/>
  <c r="AH68" i="1"/>
  <c r="AH64" i="1"/>
  <c r="AH59" i="1"/>
  <c r="AH60" i="1"/>
  <c r="AH61" i="1"/>
  <c r="AH62" i="1"/>
  <c r="AH58" i="1"/>
  <c r="AH56" i="1"/>
  <c r="AH55" i="1"/>
  <c r="AH54" i="1"/>
  <c r="AH53" i="1"/>
  <c r="AI21" i="1"/>
  <c r="AI9" i="1" l="1"/>
  <c r="AI58" i="1"/>
  <c r="AI64" i="1"/>
  <c r="AI70" i="1"/>
  <c r="AI76" i="1"/>
  <c r="AI82" i="1"/>
  <c r="AI88" i="1"/>
  <c r="AB52" i="1"/>
  <c r="AG37" i="6"/>
  <c r="AG3" i="7"/>
  <c r="AG27" i="7"/>
  <c r="AG28" i="7"/>
  <c r="AG29" i="7"/>
  <c r="AG30" i="7"/>
  <c r="AG31" i="7"/>
  <c r="AG32" i="7"/>
  <c r="AG26" i="7"/>
  <c r="AM61" i="6"/>
  <c r="AM54" i="6"/>
  <c r="B19" i="16" l="1"/>
  <c r="E7" i="16"/>
  <c r="E9" i="16"/>
  <c r="E10" i="16"/>
  <c r="E11" i="16"/>
  <c r="E12" i="16"/>
  <c r="E13" i="16"/>
  <c r="E14" i="16"/>
  <c r="D7" i="16"/>
  <c r="D9" i="16"/>
  <c r="D10" i="16"/>
  <c r="D11" i="16"/>
  <c r="H11" i="16" s="1"/>
  <c r="I11" i="16" s="1"/>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AK11" i="16" s="1"/>
  <c r="AL11" i="16" s="1"/>
  <c r="AM11" i="16" s="1"/>
  <c r="AN11" i="16" s="1"/>
  <c r="AO11" i="16" s="1"/>
  <c r="AP11" i="16" s="1"/>
  <c r="AQ11" i="16" s="1"/>
  <c r="AR11" i="16" s="1"/>
  <c r="AS11" i="16" s="1"/>
  <c r="AT11" i="16" s="1"/>
  <c r="D12" i="16"/>
  <c r="D13" i="16"/>
  <c r="D14" i="16"/>
  <c r="C7" i="16"/>
  <c r="C9" i="16"/>
  <c r="C10" i="16"/>
  <c r="C11" i="16"/>
  <c r="C12" i="16"/>
  <c r="C13" i="16"/>
  <c r="B7" i="16"/>
  <c r="G7" i="16" s="1"/>
  <c r="B21" i="16" s="1"/>
  <c r="B9" i="16"/>
  <c r="G9" i="16" s="1"/>
  <c r="B23" i="16" s="1"/>
  <c r="B10" i="16"/>
  <c r="G10" i="16" s="1"/>
  <c r="B24" i="16" s="1"/>
  <c r="B11" i="16"/>
  <c r="G11" i="16" s="1"/>
  <c r="B25" i="16" s="1"/>
  <c r="B12" i="16"/>
  <c r="G12" i="16" s="1"/>
  <c r="B26" i="16" s="1"/>
  <c r="B13" i="16"/>
  <c r="G13" i="16" s="1"/>
  <c r="B27" i="16" s="1"/>
  <c r="B14" i="16"/>
  <c r="B6" i="16"/>
  <c r="G6" i="16" s="1"/>
  <c r="B20" i="16" s="1"/>
  <c r="P21" i="7"/>
  <c r="C14" i="16" s="1"/>
  <c r="AE8" i="9"/>
  <c r="AD8" i="9"/>
  <c r="AH8" i="9" s="1"/>
  <c r="E6" i="16"/>
  <c r="D6" i="16"/>
  <c r="C6" i="16"/>
  <c r="G4" i="16"/>
  <c r="B18" i="16" s="1"/>
  <c r="H10" i="16" l="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AH10" i="16" s="1"/>
  <c r="AI10" i="16" s="1"/>
  <c r="AJ10" i="16" s="1"/>
  <c r="AK10" i="16" s="1"/>
  <c r="AL10" i="16" s="1"/>
  <c r="AM10" i="16" s="1"/>
  <c r="AN10" i="16" s="1"/>
  <c r="AO10" i="16" s="1"/>
  <c r="AP10" i="16" s="1"/>
  <c r="AQ10" i="16" s="1"/>
  <c r="AR10" i="16" s="1"/>
  <c r="AS10" i="16" s="1"/>
  <c r="AT10" i="16" s="1"/>
  <c r="H13" i="16"/>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AI13" i="16" s="1"/>
  <c r="AJ13" i="16" s="1"/>
  <c r="AK13" i="16" s="1"/>
  <c r="AL13" i="16" s="1"/>
  <c r="AM13" i="16" s="1"/>
  <c r="AN13" i="16" s="1"/>
  <c r="AO13" i="16" s="1"/>
  <c r="AP13" i="16" s="1"/>
  <c r="AQ13" i="16" s="1"/>
  <c r="AR13" i="16" s="1"/>
  <c r="AS13" i="16" s="1"/>
  <c r="AT13" i="16" s="1"/>
  <c r="H12" i="16"/>
  <c r="I12" i="16" s="1"/>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AH12" i="16" s="1"/>
  <c r="AI12" i="16" s="1"/>
  <c r="AJ12" i="16" s="1"/>
  <c r="AK12" i="16" s="1"/>
  <c r="AL12" i="16" s="1"/>
  <c r="AM12" i="16" s="1"/>
  <c r="AN12" i="16" s="1"/>
  <c r="AO12" i="16" s="1"/>
  <c r="AP12" i="16" s="1"/>
  <c r="AQ12" i="16" s="1"/>
  <c r="AR12" i="16" s="1"/>
  <c r="AS12" i="16" s="1"/>
  <c r="AT12" i="16" s="1"/>
  <c r="H7" i="16"/>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AI7" i="16" s="1"/>
  <c r="AJ7" i="16" s="1"/>
  <c r="AK7" i="16" s="1"/>
  <c r="AL7" i="16" s="1"/>
  <c r="AM7" i="16" s="1"/>
  <c r="AN7" i="16" s="1"/>
  <c r="AO7" i="16" s="1"/>
  <c r="AP7" i="16" s="1"/>
  <c r="AQ7" i="16" s="1"/>
  <c r="AR7" i="16" s="1"/>
  <c r="AS7" i="16" s="1"/>
  <c r="AT7" i="16" s="1"/>
  <c r="H9" i="16"/>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L9" i="16" s="1"/>
  <c r="AM9" i="16" s="1"/>
  <c r="AN9" i="16" s="1"/>
  <c r="AO9" i="16" s="1"/>
  <c r="AP9" i="16" s="1"/>
  <c r="AQ9" i="16" s="1"/>
  <c r="AR9" i="16" s="1"/>
  <c r="AS9" i="16" s="1"/>
  <c r="AT9" i="16" s="1"/>
  <c r="H6" i="16"/>
  <c r="I6" i="16" l="1"/>
  <c r="J6" i="16" s="1"/>
  <c r="K6" i="16" s="1"/>
  <c r="L6" i="16" s="1"/>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AH6" i="16" s="1"/>
  <c r="AI6" i="16" s="1"/>
  <c r="AJ6" i="16" s="1"/>
  <c r="AK6" i="16" s="1"/>
  <c r="AL6" i="16" s="1"/>
  <c r="AM6" i="16" s="1"/>
  <c r="AN6" i="16" s="1"/>
  <c r="AO6" i="16" s="1"/>
  <c r="AP6" i="16" s="1"/>
  <c r="AQ6" i="16" s="1"/>
  <c r="AR6" i="16" s="1"/>
  <c r="AS6" i="16" s="1"/>
  <c r="AT6" i="16" s="1"/>
  <c r="H15" i="16"/>
  <c r="H5" i="16" s="1"/>
  <c r="I15" i="16" l="1"/>
  <c r="I5" i="16" s="1"/>
  <c r="J15" i="16"/>
  <c r="J5" i="16" s="1"/>
  <c r="K15" i="16" l="1"/>
  <c r="K5" i="16" s="1"/>
  <c r="L15" i="16" l="1"/>
  <c r="L5" i="16" s="1"/>
  <c r="M15" i="16" l="1"/>
  <c r="C3" i="16"/>
  <c r="G14" i="16" s="1"/>
  <c r="B28" i="16" s="1"/>
  <c r="D3" i="16"/>
  <c r="E3" i="16"/>
  <c r="C5" i="16"/>
  <c r="D5" i="16"/>
  <c r="E5" i="16"/>
  <c r="C2" i="16"/>
  <c r="D2" i="16"/>
  <c r="E2" i="16"/>
  <c r="AF35" i="5"/>
  <c r="AF25" i="5"/>
  <c r="AE36" i="3"/>
  <c r="Y33" i="3" s="1"/>
  <c r="AM62" i="6"/>
  <c r="AM33" i="6"/>
  <c r="AM23" i="6"/>
  <c r="C18" i="16" l="1" a="1"/>
  <c r="C18" i="16" s="1"/>
  <c r="I14" i="16"/>
  <c r="M14" i="16"/>
  <c r="Q14" i="16"/>
  <c r="U14" i="16"/>
  <c r="Y14" i="16"/>
  <c r="AC14" i="16"/>
  <c r="AG14" i="16"/>
  <c r="AK14" i="16"/>
  <c r="AO14" i="16"/>
  <c r="AS14" i="16"/>
  <c r="J14" i="16"/>
  <c r="N14" i="16"/>
  <c r="R14" i="16"/>
  <c r="V14" i="16"/>
  <c r="Z14" i="16"/>
  <c r="AD14" i="16"/>
  <c r="AH14" i="16"/>
  <c r="AL14" i="16"/>
  <c r="AP14" i="16"/>
  <c r="AT14" i="16"/>
  <c r="K14" i="16"/>
  <c r="O14" i="16"/>
  <c r="S14" i="16"/>
  <c r="W14" i="16"/>
  <c r="AA14" i="16"/>
  <c r="AE14" i="16"/>
  <c r="AI14" i="16"/>
  <c r="AM14" i="16"/>
  <c r="AQ14" i="16"/>
  <c r="H14" i="16"/>
  <c r="L14" i="16"/>
  <c r="P14" i="16"/>
  <c r="T14" i="16"/>
  <c r="X14" i="16"/>
  <c r="AB14" i="16"/>
  <c r="AF14" i="16"/>
  <c r="AJ14" i="16"/>
  <c r="AN14" i="16"/>
  <c r="AR14" i="16"/>
  <c r="B3" i="16"/>
  <c r="B2" i="16" s="1"/>
  <c r="N15" i="16"/>
  <c r="C2" i="18"/>
  <c r="K12" i="18"/>
  <c r="K10" i="18"/>
  <c r="B2" i="18"/>
  <c r="H14" i="18" s="1"/>
  <c r="B8" i="18"/>
  <c r="C8" i="18"/>
  <c r="B14" i="18"/>
  <c r="C14" i="18"/>
  <c r="B18" i="18"/>
  <c r="C18" i="18"/>
  <c r="B25" i="18"/>
  <c r="C25" i="18"/>
  <c r="B31" i="18"/>
  <c r="C31" i="18"/>
  <c r="O15" i="16" l="1"/>
  <c r="B26" i="17"/>
  <c r="B35" i="17"/>
  <c r="B34" i="17"/>
  <c r="B33" i="17"/>
  <c r="B32" i="17"/>
  <c r="B29" i="17"/>
  <c r="B28" i="17"/>
  <c r="B27" i="17"/>
  <c r="B23" i="17"/>
  <c r="B22" i="17"/>
  <c r="B21" i="17"/>
  <c r="B20" i="17"/>
  <c r="B19" i="17"/>
  <c r="B16" i="17"/>
  <c r="B15" i="17"/>
  <c r="B12" i="17"/>
  <c r="B11" i="17"/>
  <c r="B10" i="17"/>
  <c r="B9" i="17"/>
  <c r="B6" i="17"/>
  <c r="B5" i="17"/>
  <c r="B4" i="17"/>
  <c r="B3" i="17"/>
  <c r="AG110" i="7"/>
  <c r="AG111" i="7"/>
  <c r="AG102" i="7"/>
  <c r="AA97" i="7" s="1"/>
  <c r="AG94" i="7"/>
  <c r="AA86" i="7" s="1"/>
  <c r="AG81" i="7"/>
  <c r="AG74" i="7"/>
  <c r="AG67" i="7"/>
  <c r="AG60" i="7"/>
  <c r="AG53" i="7"/>
  <c r="AG45" i="7"/>
  <c r="AG38" i="7"/>
  <c r="D3" i="17"/>
  <c r="C3" i="18" s="1"/>
  <c r="D33" i="17"/>
  <c r="D34" i="17"/>
  <c r="D35" i="17"/>
  <c r="C35" i="18" s="1"/>
  <c r="D32" i="17"/>
  <c r="D27" i="17"/>
  <c r="D28" i="17"/>
  <c r="C28" i="18" s="1"/>
  <c r="D29" i="17"/>
  <c r="D26" i="17"/>
  <c r="D20" i="17"/>
  <c r="D21" i="17"/>
  <c r="D22" i="17"/>
  <c r="D23" i="17"/>
  <c r="D19" i="17"/>
  <c r="D16" i="17"/>
  <c r="D15" i="17"/>
  <c r="D10" i="17"/>
  <c r="D11" i="17"/>
  <c r="D12" i="17"/>
  <c r="D9" i="17"/>
  <c r="D6" i="17"/>
  <c r="D4" i="17"/>
  <c r="D5" i="17"/>
  <c r="A33" i="17"/>
  <c r="A34" i="17"/>
  <c r="A35" i="17"/>
  <c r="A32" i="17"/>
  <c r="A31" i="17"/>
  <c r="A31" i="18" s="1"/>
  <c r="F25" i="18" s="1"/>
  <c r="A29" i="17"/>
  <c r="A27" i="17"/>
  <c r="A28" i="17"/>
  <c r="A26" i="17"/>
  <c r="A25" i="17"/>
  <c r="A25" i="18" s="1"/>
  <c r="F23" i="18" s="1"/>
  <c r="AD6" i="9" s="1"/>
  <c r="AH6" i="9" s="1"/>
  <c r="A20" i="17"/>
  <c r="A21" i="17"/>
  <c r="A22" i="17"/>
  <c r="A23" i="17"/>
  <c r="A19" i="17"/>
  <c r="A18" i="17"/>
  <c r="A18" i="18" s="1"/>
  <c r="F21" i="18" s="1"/>
  <c r="AD5" i="9" s="1"/>
  <c r="AH5" i="9" s="1"/>
  <c r="A16" i="17"/>
  <c r="A15" i="17"/>
  <c r="A14" i="17"/>
  <c r="A14" i="18" s="1"/>
  <c r="F19" i="18" s="1"/>
  <c r="AD4" i="9" s="1"/>
  <c r="AH4" i="9" s="1"/>
  <c r="A12" i="17"/>
  <c r="A11" i="17"/>
  <c r="A10" i="17"/>
  <c r="A9" i="17"/>
  <c r="A8" i="17"/>
  <c r="A8" i="18" s="1"/>
  <c r="F17" i="18" s="1"/>
  <c r="AD3" i="9" s="1"/>
  <c r="AH3" i="9" s="1"/>
  <c r="A6" i="17"/>
  <c r="A5" i="17"/>
  <c r="A4" i="17"/>
  <c r="A2" i="17"/>
  <c r="A3" i="17"/>
  <c r="A2" i="18" l="1"/>
  <c r="F15" i="18" s="1"/>
  <c r="AD2" i="9" s="1"/>
  <c r="AH2" i="9" s="1"/>
  <c r="F9" i="18"/>
  <c r="AD7" i="9"/>
  <c r="AH7" i="9" s="1"/>
  <c r="P15" i="16"/>
  <c r="E3" i="17"/>
  <c r="E4" i="17"/>
  <c r="C4" i="18"/>
  <c r="E11" i="17"/>
  <c r="C11" i="18"/>
  <c r="E29" i="17"/>
  <c r="C29" i="18"/>
  <c r="E6" i="17"/>
  <c r="C6" i="18"/>
  <c r="E10" i="17"/>
  <c r="C10" i="18"/>
  <c r="E34" i="17"/>
  <c r="C34" i="18"/>
  <c r="D13" i="17"/>
  <c r="C13" i="18" s="1"/>
  <c r="G17" i="18" s="1"/>
  <c r="AE3" i="9" s="1"/>
  <c r="E9" i="17"/>
  <c r="C9" i="18"/>
  <c r="E35" i="17"/>
  <c r="E27" i="17"/>
  <c r="C27" i="18"/>
  <c r="E33" i="17"/>
  <c r="C33" i="18"/>
  <c r="D7" i="17"/>
  <c r="C7" i="18" s="1"/>
  <c r="G15" i="18" s="1"/>
  <c r="E5" i="17"/>
  <c r="C5" i="18"/>
  <c r="E12" i="17"/>
  <c r="C12" i="18"/>
  <c r="E28" i="17"/>
  <c r="E26" i="17"/>
  <c r="C26" i="18"/>
  <c r="E32" i="17"/>
  <c r="C32" i="18"/>
  <c r="D36" i="17"/>
  <c r="C36" i="18" s="1"/>
  <c r="G25" i="18" s="1"/>
  <c r="AE7" i="9" s="1"/>
  <c r="E15" i="17"/>
  <c r="C15" i="18"/>
  <c r="E16" i="17"/>
  <c r="C16" i="18"/>
  <c r="D17" i="17"/>
  <c r="C17" i="18" s="1"/>
  <c r="G19" i="18" s="1"/>
  <c r="AE4" i="9" s="1"/>
  <c r="E23" i="17"/>
  <c r="C23" i="18"/>
  <c r="E22" i="17"/>
  <c r="C22" i="18"/>
  <c r="E21" i="17"/>
  <c r="C21" i="18"/>
  <c r="E19" i="17"/>
  <c r="C19" i="18"/>
  <c r="E20" i="17"/>
  <c r="C20" i="18"/>
  <c r="AA104" i="7"/>
  <c r="D30" i="17"/>
  <c r="C30" i="18" s="1"/>
  <c r="G23" i="18" s="1"/>
  <c r="AE6" i="9" s="1"/>
  <c r="D24" i="17"/>
  <c r="C24" i="18" s="1"/>
  <c r="G21" i="18" s="1"/>
  <c r="AE5" i="9" s="1"/>
  <c r="AE2" i="9" l="1"/>
  <c r="Q15" i="16"/>
  <c r="E24" i="17"/>
  <c r="E30" i="17"/>
  <c r="E13" i="17"/>
  <c r="E36" i="17"/>
  <c r="E7" i="17"/>
  <c r="E17" i="17"/>
  <c r="R15" i="16" l="1"/>
  <c r="AM81" i="6"/>
  <c r="AM69" i="6"/>
  <c r="AM70" i="6"/>
  <c r="AM55" i="6"/>
  <c r="AG49" i="6" s="1"/>
  <c r="AQ8" i="6"/>
  <c r="AM8" i="6"/>
  <c r="A79" i="15"/>
  <c r="A78" i="15"/>
  <c r="A76" i="15"/>
  <c r="A75" i="15"/>
  <c r="A74" i="15"/>
  <c r="A72" i="15"/>
  <c r="A71" i="15"/>
  <c r="A70" i="15"/>
  <c r="A69" i="15"/>
  <c r="A68" i="15"/>
  <c r="A67" i="15"/>
  <c r="A66" i="15"/>
  <c r="A65" i="15"/>
  <c r="A63" i="15"/>
  <c r="A62" i="15"/>
  <c r="A60" i="15"/>
  <c r="A59" i="15"/>
  <c r="A55" i="15"/>
  <c r="A53" i="15"/>
  <c r="A51" i="15"/>
  <c r="A49" i="15"/>
  <c r="A48" i="15"/>
  <c r="A89" i="15"/>
  <c r="A87" i="15"/>
  <c r="A85" i="15"/>
  <c r="A83" i="15"/>
  <c r="A82" i="15"/>
  <c r="A81" i="15"/>
  <c r="AF104" i="5"/>
  <c r="Z99" i="5" s="1"/>
  <c r="AF97" i="5"/>
  <c r="Z90" i="5" s="1"/>
  <c r="A46" i="15"/>
  <c r="A45" i="15"/>
  <c r="A44" i="15"/>
  <c r="A43" i="15"/>
  <c r="A42" i="15"/>
  <c r="A41" i="15"/>
  <c r="A33" i="15"/>
  <c r="A38" i="15"/>
  <c r="A37" i="15"/>
  <c r="A36" i="15"/>
  <c r="A35" i="15"/>
  <c r="A34" i="15"/>
  <c r="A32" i="15"/>
  <c r="A31" i="15"/>
  <c r="A30" i="15"/>
  <c r="A29" i="15"/>
  <c r="A28" i="15"/>
  <c r="AE17" i="3"/>
  <c r="Y7" i="3" s="1"/>
  <c r="AE16" i="3"/>
  <c r="A26" i="15"/>
  <c r="A25" i="15"/>
  <c r="A23" i="15"/>
  <c r="A22" i="15"/>
  <c r="A20" i="15"/>
  <c r="A18" i="15"/>
  <c r="A16" i="15"/>
  <c r="A15" i="15"/>
  <c r="A13" i="15"/>
  <c r="A12" i="15"/>
  <c r="A11" i="15"/>
  <c r="A10" i="15"/>
  <c r="A8" i="15"/>
  <c r="A7" i="15"/>
  <c r="A6" i="15"/>
  <c r="A4" i="15"/>
  <c r="A3" i="15"/>
  <c r="AB130" i="1"/>
  <c r="AH139" i="1"/>
  <c r="AH41" i="1"/>
  <c r="AI20" i="1"/>
  <c r="AB25" i="1" l="1"/>
  <c r="S15" i="16"/>
  <c r="T15" i="16" l="1"/>
  <c r="U15" i="16" l="1"/>
  <c r="AN69" i="6"/>
  <c r="AV13" i="6"/>
  <c r="AU13" i="6"/>
  <c r="AL9" i="5"/>
  <c r="AK9" i="5"/>
  <c r="AN13" i="1"/>
  <c r="AM13" i="1"/>
  <c r="AK11" i="3"/>
  <c r="AJ11" i="3"/>
  <c r="AL11" i="14"/>
  <c r="AK11" i="14"/>
  <c r="AM11" i="7"/>
  <c r="AL11" i="7"/>
  <c r="AG87" i="7"/>
  <c r="AH87" i="7" s="1"/>
  <c r="AG88" i="7"/>
  <c r="AH88" i="7" s="1"/>
  <c r="AG89" i="7"/>
  <c r="AH89" i="7" s="1"/>
  <c r="AG90" i="7"/>
  <c r="AH90" i="7" s="1"/>
  <c r="AG91" i="7"/>
  <c r="AH91" i="7" s="1"/>
  <c r="AG92" i="7"/>
  <c r="AH92" i="7" s="1"/>
  <c r="AG93" i="7"/>
  <c r="AH93" i="7" s="1"/>
  <c r="AG86" i="7"/>
  <c r="AG14" i="7"/>
  <c r="AG16" i="7"/>
  <c r="AG13" i="7"/>
  <c r="AM80" i="6"/>
  <c r="AN80" i="6" s="1"/>
  <c r="AM79" i="6"/>
  <c r="AN79" i="6" s="1"/>
  <c r="AM78" i="6"/>
  <c r="AM76" i="6"/>
  <c r="AG75" i="6" s="1"/>
  <c r="AM75" i="6"/>
  <c r="AM30" i="6"/>
  <c r="AN30" i="6" s="1"/>
  <c r="AW12" i="6"/>
  <c r="AQ16" i="6"/>
  <c r="AQ15" i="6"/>
  <c r="AQ14" i="6"/>
  <c r="AQ10" i="6"/>
  <c r="AQ9" i="6"/>
  <c r="AP16" i="6"/>
  <c r="AP15" i="6"/>
  <c r="AP14" i="6"/>
  <c r="AP10" i="6"/>
  <c r="AP9" i="6"/>
  <c r="AP8" i="6"/>
  <c r="AO16" i="6"/>
  <c r="AO15" i="6"/>
  <c r="AO14" i="6"/>
  <c r="AO10" i="6"/>
  <c r="AO9" i="6"/>
  <c r="AO8" i="6"/>
  <c r="AN16" i="6"/>
  <c r="AN15" i="6"/>
  <c r="AN14" i="6"/>
  <c r="AN10" i="6"/>
  <c r="AN9" i="6"/>
  <c r="AN8" i="6"/>
  <c r="AM9" i="6"/>
  <c r="AM10" i="6"/>
  <c r="AM14" i="6"/>
  <c r="AM15" i="6"/>
  <c r="AM16" i="6"/>
  <c r="AM68" i="6"/>
  <c r="AN68" i="6" s="1"/>
  <c r="AM67" i="6"/>
  <c r="AN67" i="6" s="1"/>
  <c r="AM66" i="6"/>
  <c r="AN66" i="6" s="1"/>
  <c r="AM65" i="6"/>
  <c r="AM60" i="6"/>
  <c r="AM59" i="6"/>
  <c r="AN59" i="6" s="1"/>
  <c r="AM58" i="6"/>
  <c r="AN58" i="6" s="1"/>
  <c r="AM50" i="6"/>
  <c r="AN50" i="6" s="1"/>
  <c r="AM39" i="6"/>
  <c r="AN39" i="6" s="1"/>
  <c r="AM22" i="6"/>
  <c r="AM7" i="14"/>
  <c r="AH86" i="7" l="1"/>
  <c r="AN22" i="6"/>
  <c r="AM83" i="6"/>
  <c r="C16" i="20" s="1"/>
  <c r="AG58" i="6" a="1"/>
  <c r="AG58" i="6" s="1"/>
  <c r="V15" i="16"/>
  <c r="AN78" i="6"/>
  <c r="AG78" i="6" a="1"/>
  <c r="AG78" i="6" s="1"/>
  <c r="AN65" i="6"/>
  <c r="AG65" i="6" a="1"/>
  <c r="AG65" i="6" s="1"/>
  <c r="AN60" i="6"/>
  <c r="AM5" i="6"/>
  <c r="AN5" i="6"/>
  <c r="AR8" i="6"/>
  <c r="AR14" i="6"/>
  <c r="AN75" i="6"/>
  <c r="W15" i="16" l="1"/>
  <c r="AO75" i="6"/>
  <c r="AG5" i="6"/>
  <c r="AN83" i="6"/>
  <c r="E16" i="20" s="1"/>
  <c r="I16" i="20" s="1"/>
  <c r="AF94" i="5"/>
  <c r="AF93" i="5"/>
  <c r="AF110" i="5"/>
  <c r="AF109" i="5"/>
  <c r="AF108" i="5"/>
  <c r="AF107" i="5"/>
  <c r="AF106" i="5"/>
  <c r="C23" i="17" l="1"/>
  <c r="F23" i="17" s="1"/>
  <c r="J23" i="17" s="1"/>
  <c r="G16" i="20"/>
  <c r="J16" i="20" s="1"/>
  <c r="AF112" i="5"/>
  <c r="Z106" i="5" s="1"/>
  <c r="X15" i="16"/>
  <c r="AO9" i="1"/>
  <c r="AF43" i="5"/>
  <c r="AN9" i="7"/>
  <c r="AN10" i="7"/>
  <c r="AN8" i="7"/>
  <c r="AN7" i="7"/>
  <c r="B23" i="18" l="1"/>
  <c r="D23" i="18" s="1"/>
  <c r="I23" i="17"/>
  <c r="G23" i="17"/>
  <c r="Y15" i="16"/>
  <c r="AW7" i="6"/>
  <c r="Z15" i="16" l="1"/>
  <c r="AE14" i="3"/>
  <c r="AF14" i="3" s="1"/>
  <c r="AH40" i="1"/>
  <c r="AI40" i="1" s="1"/>
  <c r="AH39" i="1"/>
  <c r="AA15" i="16" l="1"/>
  <c r="AM8" i="5"/>
  <c r="AM10" i="14"/>
  <c r="AM9" i="14"/>
  <c r="AM8" i="14"/>
  <c r="AW10" i="6"/>
  <c r="AW9" i="6"/>
  <c r="AW8" i="6"/>
  <c r="AM7" i="5"/>
  <c r="AL10" i="3"/>
  <c r="AL9" i="3"/>
  <c r="AL8" i="3"/>
  <c r="AL7" i="3"/>
  <c r="AO10" i="1"/>
  <c r="AO11" i="1"/>
  <c r="AO12" i="1"/>
  <c r="AB15" i="16" l="1"/>
  <c r="AI11" i="1"/>
  <c r="AN43" i="6"/>
  <c r="AM42" i="6"/>
  <c r="AN42" i="6" s="1"/>
  <c r="AM41" i="6"/>
  <c r="AN41" i="6" s="1"/>
  <c r="AM40" i="6"/>
  <c r="AN40" i="6" s="1"/>
  <c r="AM38" i="6"/>
  <c r="AN38" i="6" l="1"/>
  <c r="AN46" i="6" s="1"/>
  <c r="E14" i="20" s="1"/>
  <c r="I14" i="20" s="1"/>
  <c r="AM46" i="6"/>
  <c r="C14" i="20" s="1"/>
  <c r="AC15" i="16"/>
  <c r="AO38" i="6"/>
  <c r="AI10" i="1"/>
  <c r="AM28" i="6"/>
  <c r="AM29" i="6"/>
  <c r="AN29" i="6" s="1"/>
  <c r="AM31" i="6"/>
  <c r="AN31" i="6" s="1"/>
  <c r="AM32" i="6"/>
  <c r="AM51" i="6"/>
  <c r="AM52" i="6"/>
  <c r="AN52" i="6" s="1"/>
  <c r="AM53" i="6"/>
  <c r="AN53" i="6" s="1"/>
  <c r="AM19" i="6"/>
  <c r="AM20" i="6"/>
  <c r="AN20" i="6" s="1"/>
  <c r="AM49" i="6"/>
  <c r="AM21" i="6"/>
  <c r="AF61" i="5"/>
  <c r="AF57" i="5"/>
  <c r="AF58" i="5"/>
  <c r="AF59" i="5"/>
  <c r="AF60" i="5"/>
  <c r="AM25" i="6" l="1"/>
  <c r="C12" i="20" s="1"/>
  <c r="AN51" i="6"/>
  <c r="AM72" i="6"/>
  <c r="C15" i="20" s="1"/>
  <c r="C21" i="17"/>
  <c r="B21" i="18" s="1"/>
  <c r="D21" i="18" s="1"/>
  <c r="G14" i="20"/>
  <c r="J14" i="20" s="1"/>
  <c r="AD15" i="16"/>
  <c r="AG26" i="6" a="1"/>
  <c r="AG26" i="6" s="1"/>
  <c r="AN32" i="6"/>
  <c r="AN21" i="6"/>
  <c r="AG19" i="6" a="1"/>
  <c r="AG19" i="6" s="1"/>
  <c r="Z57" i="5"/>
  <c r="AN49" i="6"/>
  <c r="AN19" i="6"/>
  <c r="AN28" i="6"/>
  <c r="AM35" i="6"/>
  <c r="C13" i="20" s="1"/>
  <c r="AG57" i="5"/>
  <c r="AI15" i="1"/>
  <c r="AG123" i="7"/>
  <c r="AA120" i="7" s="1"/>
  <c r="AG122" i="7"/>
  <c r="AG121" i="7"/>
  <c r="AG120" i="7"/>
  <c r="AG118" i="7"/>
  <c r="AG117" i="7"/>
  <c r="AG116" i="7"/>
  <c r="AG115" i="7"/>
  <c r="AG101" i="7"/>
  <c r="AG100" i="7"/>
  <c r="AH100" i="7" s="1"/>
  <c r="AG99" i="7"/>
  <c r="AH99" i="7" s="1"/>
  <c r="AG98" i="7"/>
  <c r="AH98" i="7" s="1"/>
  <c r="AG97" i="7"/>
  <c r="AH110" i="7"/>
  <c r="AG109" i="7"/>
  <c r="AG108" i="7"/>
  <c r="AH108" i="7" s="1"/>
  <c r="AG107" i="7"/>
  <c r="AH107" i="7" s="1"/>
  <c r="AG106" i="7"/>
  <c r="AH106" i="7" s="1"/>
  <c r="AG105" i="7"/>
  <c r="AH105" i="7" s="1"/>
  <c r="AG104" i="7"/>
  <c r="AH104" i="7" s="1"/>
  <c r="AG80" i="7"/>
  <c r="AH80" i="7" s="1"/>
  <c r="AG79" i="7"/>
  <c r="AH79" i="7" s="1"/>
  <c r="AG78" i="7"/>
  <c r="AH78" i="7" s="1"/>
  <c r="AG77" i="7"/>
  <c r="AG73" i="7"/>
  <c r="AH73" i="7" s="1"/>
  <c r="AG72" i="7"/>
  <c r="AG71" i="7"/>
  <c r="AH71" i="7" s="1"/>
  <c r="AG70" i="7"/>
  <c r="AH70" i="7" s="1"/>
  <c r="AG66" i="7"/>
  <c r="AH66" i="7" s="1"/>
  <c r="AG65" i="7"/>
  <c r="AH65" i="7" s="1"/>
  <c r="AG64" i="7"/>
  <c r="AH64" i="7" s="1"/>
  <c r="AG63" i="7"/>
  <c r="AG59" i="7"/>
  <c r="AH59" i="7" s="1"/>
  <c r="AG58" i="7"/>
  <c r="AH58" i="7" s="1"/>
  <c r="AG57" i="7"/>
  <c r="AH57" i="7" s="1"/>
  <c r="AG56" i="7"/>
  <c r="AG52" i="7"/>
  <c r="AH52" i="7" s="1"/>
  <c r="AG51" i="7"/>
  <c r="AH51" i="7" s="1"/>
  <c r="AG50" i="7"/>
  <c r="AH50" i="7" s="1"/>
  <c r="AG49" i="7"/>
  <c r="AH49" i="7" s="1"/>
  <c r="AG48" i="7"/>
  <c r="AG44" i="7"/>
  <c r="AH44" i="7" s="1"/>
  <c r="AG43" i="7"/>
  <c r="AH43" i="7" s="1"/>
  <c r="AG42" i="7"/>
  <c r="AH42" i="7" s="1"/>
  <c r="AG41" i="7"/>
  <c r="AG37" i="7"/>
  <c r="AH37" i="7" s="1"/>
  <c r="AG36" i="7"/>
  <c r="AH36" i="7" s="1"/>
  <c r="AG35" i="7"/>
  <c r="AH35" i="7" s="1"/>
  <c r="AG34" i="7"/>
  <c r="AG9" i="7"/>
  <c r="AF46" i="14"/>
  <c r="Z42" i="14" s="1"/>
  <c r="AF45" i="14"/>
  <c r="AF44" i="14"/>
  <c r="AF43" i="14"/>
  <c r="AF42" i="14"/>
  <c r="AF38" i="14"/>
  <c r="Z34" i="14" s="1"/>
  <c r="AF37" i="14"/>
  <c r="AF36" i="14"/>
  <c r="AF35" i="14"/>
  <c r="AF34" i="14"/>
  <c r="AF30" i="14"/>
  <c r="Z27" i="14" s="1"/>
  <c r="AF29" i="14"/>
  <c r="AF28" i="14"/>
  <c r="AF27" i="14"/>
  <c r="AF22" i="14"/>
  <c r="AF20" i="14"/>
  <c r="AF18" i="14"/>
  <c r="Z13" i="14" s="1"/>
  <c r="AF17" i="14"/>
  <c r="AF16" i="14"/>
  <c r="AF15" i="14"/>
  <c r="AF14" i="14"/>
  <c r="AF13" i="14"/>
  <c r="AF7" i="14"/>
  <c r="AF11" i="14"/>
  <c r="Z7" i="14" s="1"/>
  <c r="AF10" i="14"/>
  <c r="AF9" i="14"/>
  <c r="AF8" i="14"/>
  <c r="AF102" i="5"/>
  <c r="AG102" i="5" s="1"/>
  <c r="AF101" i="5"/>
  <c r="AG101" i="5" s="1"/>
  <c r="AF100" i="5"/>
  <c r="AG100" i="5" s="1"/>
  <c r="AF99" i="5"/>
  <c r="AG99" i="5" s="1"/>
  <c r="AF91" i="5"/>
  <c r="AG91" i="5" s="1"/>
  <c r="AF92" i="5"/>
  <c r="AG92" i="5" s="1"/>
  <c r="AF90" i="5"/>
  <c r="AG90" i="5" s="1"/>
  <c r="AF81" i="5"/>
  <c r="AF83" i="5"/>
  <c r="Z80" i="5" s="1"/>
  <c r="AF80" i="5"/>
  <c r="AF73" i="5"/>
  <c r="AF78" i="5"/>
  <c r="AF76" i="5"/>
  <c r="AF75" i="5"/>
  <c r="AF74" i="5"/>
  <c r="AF55" i="5"/>
  <c r="Z52" i="5" s="1"/>
  <c r="AF54" i="5"/>
  <c r="AF53" i="5"/>
  <c r="AF52" i="5"/>
  <c r="AF49" i="5"/>
  <c r="Z47" i="5" s="1"/>
  <c r="AF48" i="5"/>
  <c r="AF47" i="5"/>
  <c r="AF45" i="5"/>
  <c r="AF44" i="5"/>
  <c r="AF42" i="5"/>
  <c r="AF38" i="5"/>
  <c r="AF39" i="5"/>
  <c r="AF40" i="5"/>
  <c r="AF37" i="5"/>
  <c r="AF34" i="5"/>
  <c r="Z32" i="5" s="1"/>
  <c r="AF33" i="5"/>
  <c r="AF32" i="5"/>
  <c r="AF30" i="5"/>
  <c r="AF29" i="5"/>
  <c r="AF28" i="5"/>
  <c r="AF27" i="5"/>
  <c r="AF24" i="5"/>
  <c r="Z22" i="5" s="1"/>
  <c r="AF23" i="5"/>
  <c r="AF22" i="5"/>
  <c r="AF17" i="5"/>
  <c r="AF19" i="5"/>
  <c r="Z17" i="5" s="1"/>
  <c r="AF15" i="5"/>
  <c r="AF14" i="5"/>
  <c r="AF13" i="5"/>
  <c r="AF12" i="5"/>
  <c r="AF7" i="5"/>
  <c r="AF10" i="5"/>
  <c r="AF9" i="5"/>
  <c r="AF8" i="5"/>
  <c r="AE44" i="3"/>
  <c r="Y40" i="3" s="1"/>
  <c r="AF41" i="3"/>
  <c r="AF42" i="3"/>
  <c r="AF43" i="3"/>
  <c r="AE31" i="3"/>
  <c r="Y26" i="3" s="1"/>
  <c r="AE29" i="3"/>
  <c r="AE30" i="3"/>
  <c r="AE28" i="3"/>
  <c r="AH97" i="1"/>
  <c r="AH98" i="1"/>
  <c r="AH99" i="1"/>
  <c r="AH100" i="1"/>
  <c r="AH106" i="1"/>
  <c r="AH107" i="1"/>
  <c r="AH108" i="1"/>
  <c r="AH109" i="1"/>
  <c r="AH110" i="1"/>
  <c r="AH112" i="1"/>
  <c r="AH113" i="1"/>
  <c r="AH114" i="1"/>
  <c r="AH115" i="1"/>
  <c r="AH96" i="1"/>
  <c r="AH48" i="1"/>
  <c r="AB45" i="1" s="1"/>
  <c r="AI13" i="1"/>
  <c r="AI16" i="1"/>
  <c r="AI17" i="1"/>
  <c r="AI18" i="1"/>
  <c r="AI19" i="1"/>
  <c r="AH30" i="1"/>
  <c r="AI30" i="1" s="1"/>
  <c r="AH31" i="1"/>
  <c r="AI31" i="1" s="1"/>
  <c r="AH32" i="1"/>
  <c r="AH33" i="1"/>
  <c r="AI33" i="1" s="1"/>
  <c r="AH34" i="1"/>
  <c r="AI34" i="1" s="1"/>
  <c r="AH35" i="1"/>
  <c r="AI35" i="1" s="1"/>
  <c r="AH36" i="1"/>
  <c r="AI36" i="1" s="1"/>
  <c r="AH37" i="1"/>
  <c r="AI37" i="1" s="1"/>
  <c r="AH38" i="1"/>
  <c r="AI38" i="1" s="1"/>
  <c r="AI39" i="1"/>
  <c r="B5" i="11"/>
  <c r="AG10" i="7"/>
  <c r="AG8" i="7"/>
  <c r="AG7" i="7"/>
  <c r="AH52" i="1"/>
  <c r="AE22" i="3"/>
  <c r="AE23" i="3"/>
  <c r="AE24" i="3"/>
  <c r="AE21" i="3"/>
  <c r="AH47" i="1"/>
  <c r="AH46" i="1"/>
  <c r="AH45" i="1"/>
  <c r="AH25" i="1"/>
  <c r="AH26" i="1"/>
  <c r="AI26" i="1" s="1"/>
  <c r="AH27" i="1"/>
  <c r="AI27" i="1" s="1"/>
  <c r="AH28" i="1"/>
  <c r="AI28" i="1" s="1"/>
  <c r="AH29" i="1"/>
  <c r="AI29" i="1" s="1"/>
  <c r="AE8" i="3"/>
  <c r="AF8" i="3" s="1"/>
  <c r="AE9" i="3"/>
  <c r="AF9" i="3" s="1"/>
  <c r="AE10" i="3"/>
  <c r="AF10" i="3" s="1"/>
  <c r="AE11" i="3"/>
  <c r="AF11" i="3" s="1"/>
  <c r="AE12" i="3"/>
  <c r="AF12" i="3" s="1"/>
  <c r="AE13" i="3"/>
  <c r="AF13" i="3" s="1"/>
  <c r="AE15" i="3"/>
  <c r="AF15" i="3" s="1"/>
  <c r="AF16" i="3"/>
  <c r="AE7" i="3"/>
  <c r="AF7" i="3" s="1"/>
  <c r="AI130" i="1"/>
  <c r="AI131" i="1"/>
  <c r="AH132" i="1"/>
  <c r="AH133" i="1"/>
  <c r="AI133" i="1" s="1"/>
  <c r="AH134" i="1"/>
  <c r="AI134" i="1" s="1"/>
  <c r="AH135" i="1"/>
  <c r="AI135" i="1" s="1"/>
  <c r="AH136" i="1"/>
  <c r="AI136" i="1" s="1"/>
  <c r="AH137" i="1"/>
  <c r="AI137" i="1" s="1"/>
  <c r="AH138" i="1"/>
  <c r="AI138" i="1" s="1"/>
  <c r="AI139" i="1"/>
  <c r="AI132" i="1" l="1"/>
  <c r="AH141" i="1"/>
  <c r="C5" i="20" s="1"/>
  <c r="AI32" i="1"/>
  <c r="AH42" i="1"/>
  <c r="AH121" i="1"/>
  <c r="C4" i="20" s="1"/>
  <c r="AI52" i="1"/>
  <c r="AH93" i="1"/>
  <c r="C3" i="20" s="1"/>
  <c r="AG23" i="7"/>
  <c r="C17" i="20" s="1"/>
  <c r="AA7" i="7"/>
  <c r="F21" i="17"/>
  <c r="I21" i="17" s="1"/>
  <c r="AH109" i="7"/>
  <c r="AG112" i="7"/>
  <c r="C19" i="20" s="1"/>
  <c r="AG124" i="7"/>
  <c r="C20" i="20" s="1"/>
  <c r="AH97" i="7"/>
  <c r="AG83" i="7"/>
  <c r="C18" i="20" s="1"/>
  <c r="AO49" i="6" a="1"/>
  <c r="AO49" i="6" s="1"/>
  <c r="AN72" i="6"/>
  <c r="E15" i="20" s="1"/>
  <c r="I15" i="20" s="1"/>
  <c r="AF111" i="5"/>
  <c r="C11" i="20" s="1"/>
  <c r="AF70" i="5"/>
  <c r="C10" i="20" s="1"/>
  <c r="AI14" i="1"/>
  <c r="Z73" i="5"/>
  <c r="Z37" i="5"/>
  <c r="AF40" i="3"/>
  <c r="AG40" i="3" s="1"/>
  <c r="Z20" i="14"/>
  <c r="AG80" i="5"/>
  <c r="AG73" i="5"/>
  <c r="AB96" i="1"/>
  <c r="G21" i="17"/>
  <c r="AE15" i="16"/>
  <c r="J21" i="17"/>
  <c r="AH77" i="7"/>
  <c r="AA77" i="7" a="1"/>
  <c r="AA77" i="7" s="1"/>
  <c r="AA70" i="7" a="1"/>
  <c r="AA70" i="7" s="1"/>
  <c r="AH72" i="7"/>
  <c r="AH63" i="7"/>
  <c r="AA63" i="7" a="1"/>
  <c r="AA63" i="7" s="1"/>
  <c r="AH56" i="7"/>
  <c r="AA56" i="7" a="1"/>
  <c r="AA56" i="7" s="1"/>
  <c r="AH48" i="7"/>
  <c r="AA48" i="7" a="1"/>
  <c r="AA48" i="7" s="1"/>
  <c r="AH41" i="7"/>
  <c r="AA41" i="7" a="1"/>
  <c r="AA41" i="7" s="1"/>
  <c r="AH34" i="7"/>
  <c r="AA34" i="7" a="1"/>
  <c r="AA34" i="7" s="1"/>
  <c r="AH101" i="7"/>
  <c r="AA113" i="7"/>
  <c r="AN35" i="6"/>
  <c r="E13" i="20" s="1"/>
  <c r="I13" i="20" s="1"/>
  <c r="AO28" i="6"/>
  <c r="AN25" i="6"/>
  <c r="E12" i="20" s="1"/>
  <c r="I12" i="20" s="1"/>
  <c r="AO19" i="6"/>
  <c r="G12" i="20" s="1"/>
  <c r="J12" i="20" s="1"/>
  <c r="AG7" i="3"/>
  <c r="G6" i="20" s="1"/>
  <c r="J6" i="20" s="1"/>
  <c r="Z7" i="5"/>
  <c r="AI12" i="1"/>
  <c r="AB124" i="1"/>
  <c r="AB88" i="1"/>
  <c r="AI25" i="1"/>
  <c r="AH7" i="7"/>
  <c r="AH23" i="7" s="1"/>
  <c r="Y19" i="3"/>
  <c r="Z42" i="5"/>
  <c r="Z12" i="5"/>
  <c r="AG42" i="5"/>
  <c r="Z27" i="5"/>
  <c r="AF21" i="3"/>
  <c r="AI124" i="1"/>
  <c r="AF18" i="3"/>
  <c r="E6" i="20" s="1"/>
  <c r="I6" i="20" s="1"/>
  <c r="AG47" i="5"/>
  <c r="AG27" i="5"/>
  <c r="AG12" i="5"/>
  <c r="AG7" i="5"/>
  <c r="AF28" i="3"/>
  <c r="AI45" i="1"/>
  <c r="AH120" i="7"/>
  <c r="AH115" i="7"/>
  <c r="AI115" i="7" s="1"/>
  <c r="AG20" i="14"/>
  <c r="AF47" i="14"/>
  <c r="C24" i="20" s="1"/>
  <c r="AF39" i="14"/>
  <c r="C23" i="20" s="1"/>
  <c r="AF31" i="14"/>
  <c r="C22" i="20" s="1"/>
  <c r="AG27" i="14"/>
  <c r="AH27" i="14" s="1"/>
  <c r="AG13" i="14"/>
  <c r="AG7" i="14"/>
  <c r="AF23" i="14"/>
  <c r="AG42" i="14"/>
  <c r="AH42" i="14" s="1"/>
  <c r="G24" i="20" s="1"/>
  <c r="AG34" i="14"/>
  <c r="AH34" i="14" s="1"/>
  <c r="AG52" i="5"/>
  <c r="AG32" i="5"/>
  <c r="AG37" i="5"/>
  <c r="AG22" i="5"/>
  <c r="AG17" i="5"/>
  <c r="AE49" i="3"/>
  <c r="C9" i="20" s="1"/>
  <c r="AI112" i="1"/>
  <c r="AI106" i="1"/>
  <c r="AI96" i="1"/>
  <c r="AE25" i="3"/>
  <c r="C7" i="20" s="1"/>
  <c r="AE37" i="3"/>
  <c r="C8" i="20" s="1"/>
  <c r="AE18" i="3"/>
  <c r="C6" i="20" s="1"/>
  <c r="C12" i="17" l="1"/>
  <c r="B12" i="18" s="1"/>
  <c r="D12" i="18" s="1"/>
  <c r="G9" i="20"/>
  <c r="J9" i="20" s="1"/>
  <c r="AG28" i="3"/>
  <c r="G8" i="20" s="1"/>
  <c r="J8" i="20" s="1"/>
  <c r="AG21" i="3"/>
  <c r="G7" i="20" s="1"/>
  <c r="J7" i="20" s="1"/>
  <c r="AI42" i="1"/>
  <c r="E2" i="20" s="1"/>
  <c r="I2" i="20" s="1"/>
  <c r="AJ9" i="1"/>
  <c r="AI121" i="1"/>
  <c r="E4" i="20" s="1"/>
  <c r="I4" i="20" s="1"/>
  <c r="AJ45" i="1"/>
  <c r="AI93" i="1"/>
  <c r="E3" i="20" s="1"/>
  <c r="I3" i="20" s="1"/>
  <c r="AJ124" i="1"/>
  <c r="G5" i="20" s="1"/>
  <c r="J5" i="20" s="1"/>
  <c r="AI141" i="1"/>
  <c r="E5" i="20" s="1"/>
  <c r="I5" i="20" s="1"/>
  <c r="AH112" i="7"/>
  <c r="E19" i="20" s="1"/>
  <c r="I19" i="20" s="1"/>
  <c r="AE17" i="9"/>
  <c r="C21" i="20"/>
  <c r="C34" i="17"/>
  <c r="G23" i="20"/>
  <c r="C33" i="17"/>
  <c r="F33" i="17" s="1"/>
  <c r="K33" i="17" s="1"/>
  <c r="G22" i="20"/>
  <c r="E20" i="20"/>
  <c r="I20" i="20" s="1"/>
  <c r="G20" i="20"/>
  <c r="J20" i="20" s="1"/>
  <c r="AI86" i="7"/>
  <c r="G19" i="20" s="1"/>
  <c r="J19" i="20" s="1"/>
  <c r="AI26" i="7"/>
  <c r="G18" i="20" s="1"/>
  <c r="J18" i="20" s="1"/>
  <c r="E17" i="20"/>
  <c r="I17" i="20" s="1"/>
  <c r="AI7" i="7"/>
  <c r="G17" i="20" s="1"/>
  <c r="J17" i="20" s="1"/>
  <c r="C20" i="17"/>
  <c r="G13" i="20"/>
  <c r="J13" i="20" s="1"/>
  <c r="C22" i="17"/>
  <c r="G15" i="20"/>
  <c r="J15" i="20" s="1"/>
  <c r="AG111" i="5"/>
  <c r="E11" i="20" s="1"/>
  <c r="AH73" i="5"/>
  <c r="G11" i="20" s="1"/>
  <c r="AG70" i="5"/>
  <c r="E10" i="20" s="1"/>
  <c r="AH7" i="5"/>
  <c r="G10" i="20" s="1"/>
  <c r="AH143" i="1"/>
  <c r="C2" i="20"/>
  <c r="AE12" i="9"/>
  <c r="AE14" i="9"/>
  <c r="AE16" i="9"/>
  <c r="AE13" i="9"/>
  <c r="AF15" i="16"/>
  <c r="AH83" i="7"/>
  <c r="E18" i="20" s="1"/>
  <c r="I18" i="20" s="1"/>
  <c r="C19" i="17"/>
  <c r="B19" i="18" s="1"/>
  <c r="D19" i="18" s="1"/>
  <c r="Z84" i="6"/>
  <c r="R78" i="9" s="1"/>
  <c r="C9" i="17"/>
  <c r="F9" i="17" s="1"/>
  <c r="C35" i="17"/>
  <c r="B35" i="18" s="1"/>
  <c r="D35" i="18" s="1"/>
  <c r="F20" i="17"/>
  <c r="B20" i="18"/>
  <c r="D20" i="18" s="1"/>
  <c r="B34" i="18"/>
  <c r="D34" i="18" s="1"/>
  <c r="F34" i="17"/>
  <c r="K34" i="17" s="1"/>
  <c r="B33" i="18"/>
  <c r="D33" i="18" s="1"/>
  <c r="AH7" i="14"/>
  <c r="AJ96" i="1"/>
  <c r="AH124" i="7"/>
  <c r="C29" i="17"/>
  <c r="AF25" i="3"/>
  <c r="E7" i="20" s="1"/>
  <c r="I7" i="20" s="1"/>
  <c r="AF49" i="3"/>
  <c r="E9" i="20" s="1"/>
  <c r="I9" i="20" s="1"/>
  <c r="AF37" i="3"/>
  <c r="E8" i="20" s="1"/>
  <c r="I8" i="20" s="1"/>
  <c r="AG47" i="14"/>
  <c r="E24" i="20" s="1"/>
  <c r="AG39" i="14"/>
  <c r="E23" i="20" s="1"/>
  <c r="AG31" i="14"/>
  <c r="E22" i="20" s="1"/>
  <c r="AG23" i="14"/>
  <c r="E21" i="20" s="1"/>
  <c r="F12" i="17" l="1"/>
  <c r="J12" i="17" s="1"/>
  <c r="R51" i="3"/>
  <c r="R44" i="9" s="1"/>
  <c r="C11" i="17"/>
  <c r="C10" i="17"/>
  <c r="C6" i="17"/>
  <c r="B6" i="18" s="1"/>
  <c r="D6" i="18" s="1"/>
  <c r="S48" i="14"/>
  <c r="G21" i="20"/>
  <c r="C28" i="17"/>
  <c r="F28" i="17" s="1"/>
  <c r="L28" i="17" s="1"/>
  <c r="C27" i="17"/>
  <c r="F27" i="17" s="1"/>
  <c r="I27" i="17" s="1"/>
  <c r="F22" i="17"/>
  <c r="B22" i="18"/>
  <c r="D22" i="18" s="1"/>
  <c r="C16" i="17"/>
  <c r="B16" i="18" s="1"/>
  <c r="D16" i="18" s="1"/>
  <c r="C5" i="17"/>
  <c r="F5" i="17" s="1"/>
  <c r="G4" i="20"/>
  <c r="J4" i="20" s="1"/>
  <c r="C4" i="17"/>
  <c r="B4" i="18" s="1"/>
  <c r="D4" i="18" s="1"/>
  <c r="G3" i="20"/>
  <c r="J3" i="20" s="1"/>
  <c r="C3" i="17"/>
  <c r="F3" i="17" s="1"/>
  <c r="K3" i="17" s="1"/>
  <c r="G2" i="20"/>
  <c r="J2" i="20" s="1"/>
  <c r="AI143" i="1"/>
  <c r="AJ143" i="1"/>
  <c r="L20" i="17"/>
  <c r="K20" i="17"/>
  <c r="L9" i="17"/>
  <c r="K9" i="17"/>
  <c r="I33" i="17"/>
  <c r="L33" i="17"/>
  <c r="I34" i="17"/>
  <c r="L34" i="17"/>
  <c r="G9" i="17"/>
  <c r="J9" i="17"/>
  <c r="I9" i="17"/>
  <c r="J20" i="17"/>
  <c r="I20" i="17"/>
  <c r="AG15" i="16"/>
  <c r="B28" i="18"/>
  <c r="D28" i="18" s="1"/>
  <c r="F35" i="17"/>
  <c r="B9" i="18"/>
  <c r="D9" i="18" s="1"/>
  <c r="C26" i="17"/>
  <c r="F26" i="17" s="1"/>
  <c r="K26" i="17" s="1"/>
  <c r="T125" i="7"/>
  <c r="R95" i="9" s="1"/>
  <c r="G20" i="17"/>
  <c r="C24" i="17"/>
  <c r="B24" i="18" s="1"/>
  <c r="H21" i="18" s="1"/>
  <c r="F19" i="17"/>
  <c r="C15" i="17"/>
  <c r="S112" i="5"/>
  <c r="R61" i="9" s="1"/>
  <c r="U142" i="1"/>
  <c r="R27" i="9" s="1"/>
  <c r="R112" i="9"/>
  <c r="C32" i="17"/>
  <c r="B32" i="18" s="1"/>
  <c r="D32" i="18" s="1"/>
  <c r="G34" i="17"/>
  <c r="J34" i="17"/>
  <c r="G33" i="17"/>
  <c r="J33" i="17"/>
  <c r="F29" i="17"/>
  <c r="B29" i="18"/>
  <c r="D29" i="18" s="1"/>
  <c r="G12" i="17"/>
  <c r="C13" i="17" l="1"/>
  <c r="B13" i="18" s="1"/>
  <c r="H17" i="18" s="1"/>
  <c r="AF3" i="9" s="1"/>
  <c r="AI3" i="9" s="1"/>
  <c r="F6" i="17"/>
  <c r="L6" i="17" s="1"/>
  <c r="F11" i="17"/>
  <c r="B11" i="18"/>
  <c r="D11" i="18" s="1"/>
  <c r="B10" i="18"/>
  <c r="D10" i="18" s="1"/>
  <c r="F10" i="17"/>
  <c r="B5" i="18"/>
  <c r="D5" i="18" s="1"/>
  <c r="F4" i="17"/>
  <c r="K4" i="17" s="1"/>
  <c r="H28" i="17"/>
  <c r="J28" i="17"/>
  <c r="G28" i="17"/>
  <c r="K28" i="17"/>
  <c r="I28" i="17"/>
  <c r="J27" i="17"/>
  <c r="L27" i="17"/>
  <c r="G27" i="17"/>
  <c r="K27" i="17"/>
  <c r="H27" i="17"/>
  <c r="B27" i="18"/>
  <c r="D27" i="18" s="1"/>
  <c r="I22" i="17"/>
  <c r="K22" i="17"/>
  <c r="H22" i="17"/>
  <c r="J22" i="17"/>
  <c r="L22" i="17"/>
  <c r="G22" i="17"/>
  <c r="F16" i="17"/>
  <c r="K16" i="17" s="1"/>
  <c r="B3" i="18"/>
  <c r="D3" i="18" s="1"/>
  <c r="C7" i="17"/>
  <c r="B7" i="18" s="1"/>
  <c r="H15" i="18" s="1"/>
  <c r="H16" i="18" s="1"/>
  <c r="L19" i="17"/>
  <c r="K19" i="17"/>
  <c r="L5" i="17"/>
  <c r="K5" i="17"/>
  <c r="L35" i="17"/>
  <c r="K35" i="17"/>
  <c r="L29" i="17"/>
  <c r="K29" i="17"/>
  <c r="K6" i="17"/>
  <c r="I3" i="17"/>
  <c r="J3" i="17"/>
  <c r="L3" i="17"/>
  <c r="I26" i="17"/>
  <c r="L26" i="17"/>
  <c r="G5" i="17"/>
  <c r="I5" i="17"/>
  <c r="J19" i="17"/>
  <c r="I19" i="17"/>
  <c r="G35" i="17"/>
  <c r="I35" i="17"/>
  <c r="J29" i="17"/>
  <c r="I29" i="17"/>
  <c r="G6" i="17"/>
  <c r="H22" i="18"/>
  <c r="AF5" i="9"/>
  <c r="AI5" i="9" s="1"/>
  <c r="H3" i="17"/>
  <c r="G3" i="17"/>
  <c r="AH15" i="16"/>
  <c r="J35" i="17"/>
  <c r="H19" i="17"/>
  <c r="J26" i="17"/>
  <c r="G26" i="17"/>
  <c r="H26" i="17"/>
  <c r="C30" i="17"/>
  <c r="B30" i="18" s="1"/>
  <c r="H23" i="18" s="1"/>
  <c r="AF6" i="9" s="1"/>
  <c r="AI6" i="9" s="1"/>
  <c r="B26" i="18"/>
  <c r="D26" i="18" s="1"/>
  <c r="F32" i="17"/>
  <c r="J3" i="18"/>
  <c r="C36" i="17"/>
  <c r="B36" i="18" s="1"/>
  <c r="H25" i="18" s="1"/>
  <c r="AF7" i="9" s="1"/>
  <c r="AI7" i="9" s="1"/>
  <c r="G29" i="17"/>
  <c r="G19" i="17"/>
  <c r="F15" i="17"/>
  <c r="B15" i="18"/>
  <c r="D15" i="18" s="1"/>
  <c r="C17" i="17"/>
  <c r="B17" i="18" s="1"/>
  <c r="H19" i="18" s="1"/>
  <c r="J6" i="17"/>
  <c r="J5" i="17"/>
  <c r="H18" i="18" l="1"/>
  <c r="H3" i="18"/>
  <c r="G11" i="17"/>
  <c r="H11" i="17"/>
  <c r="J11" i="17"/>
  <c r="I11" i="17"/>
  <c r="K11" i="17"/>
  <c r="L11" i="17"/>
  <c r="G10" i="17"/>
  <c r="G13" i="17" s="1"/>
  <c r="C21" i="9" s="1"/>
  <c r="H10" i="17"/>
  <c r="H13" i="17" s="1"/>
  <c r="J21" i="9" s="1"/>
  <c r="J10" i="17"/>
  <c r="J13" i="17" s="1"/>
  <c r="J47" i="9" s="1"/>
  <c r="I10" i="17"/>
  <c r="K10" i="17"/>
  <c r="K13" i="17" s="1"/>
  <c r="C13" i="9" s="1"/>
  <c r="L10" i="17"/>
  <c r="L13" i="17" s="1"/>
  <c r="J13" i="9" s="1"/>
  <c r="L4" i="17"/>
  <c r="L7" i="17" s="1"/>
  <c r="J12" i="9" s="1"/>
  <c r="J4" i="17"/>
  <c r="J7" i="17" s="1"/>
  <c r="J30" i="9" s="1"/>
  <c r="I4" i="17"/>
  <c r="I7" i="17" s="1"/>
  <c r="B30" i="9" s="1"/>
  <c r="G4" i="17"/>
  <c r="G7" i="17" s="1"/>
  <c r="C20" i="9" s="1"/>
  <c r="H4" i="17"/>
  <c r="H7" i="17" s="1"/>
  <c r="J20" i="9" s="1"/>
  <c r="H30" i="17"/>
  <c r="J24" i="9" s="1"/>
  <c r="I24" i="17"/>
  <c r="B81" i="9" s="1"/>
  <c r="K24" i="17"/>
  <c r="C15" i="9" s="1"/>
  <c r="L24" i="17"/>
  <c r="J15" i="9" s="1"/>
  <c r="G24" i="17"/>
  <c r="C23" i="9" s="1"/>
  <c r="H24" i="17"/>
  <c r="J23" i="9" s="1"/>
  <c r="J24" i="17"/>
  <c r="J81" i="9" s="1"/>
  <c r="G16" i="17"/>
  <c r="L16" i="17"/>
  <c r="I16" i="17"/>
  <c r="H16" i="17"/>
  <c r="J16" i="17"/>
  <c r="J64" i="9"/>
  <c r="G30" i="17"/>
  <c r="C24" i="9" s="1"/>
  <c r="L30" i="17"/>
  <c r="J16" i="9" s="1"/>
  <c r="K30" i="17"/>
  <c r="C16" i="9" s="1"/>
  <c r="L15" i="17"/>
  <c r="K15" i="17"/>
  <c r="L32" i="17"/>
  <c r="L36" i="17" s="1"/>
  <c r="J17" i="9" s="1"/>
  <c r="K32" i="17"/>
  <c r="K7" i="17"/>
  <c r="C12" i="9" s="1"/>
  <c r="I30" i="17"/>
  <c r="B98" i="9" s="1"/>
  <c r="I15" i="17"/>
  <c r="J15" i="17"/>
  <c r="J17" i="17" s="1"/>
  <c r="H32" i="17"/>
  <c r="H36" i="17" s="1"/>
  <c r="J25" i="9" s="1"/>
  <c r="I32" i="17"/>
  <c r="I36" i="17" s="1"/>
  <c r="B115" i="9" s="1"/>
  <c r="J30" i="17"/>
  <c r="J98" i="9" s="1"/>
  <c r="H20" i="18"/>
  <c r="AF4" i="9"/>
  <c r="AI4" i="9" s="1"/>
  <c r="AF2" i="9"/>
  <c r="AI2" i="9" s="1"/>
  <c r="AI15" i="16"/>
  <c r="H24" i="18"/>
  <c r="G27" i="18"/>
  <c r="J32" i="17"/>
  <c r="J36" i="17" s="1"/>
  <c r="J115" i="9" s="1"/>
  <c r="G32" i="17"/>
  <c r="G36" i="17" s="1"/>
  <c r="C25" i="9" s="1"/>
  <c r="G9" i="18"/>
  <c r="H26" i="18"/>
  <c r="K3" i="18"/>
  <c r="G3" i="18"/>
  <c r="I3" i="18"/>
  <c r="G15" i="17"/>
  <c r="H15" i="17"/>
  <c r="I13" i="17" l="1"/>
  <c r="B47" i="9" s="1"/>
  <c r="H17" i="17"/>
  <c r="J22" i="9" s="1"/>
  <c r="I17" i="17"/>
  <c r="B64" i="9" s="1"/>
  <c r="G17" i="17"/>
  <c r="C22" i="9" s="1"/>
  <c r="L17" i="17"/>
  <c r="J14" i="9" s="1"/>
  <c r="G39" i="17"/>
  <c r="K17" i="17"/>
  <c r="C14" i="9" s="1"/>
  <c r="AF8" i="9"/>
  <c r="AI8" i="9" s="1"/>
  <c r="H28" i="18"/>
  <c r="H27" i="18"/>
  <c r="K36" i="17"/>
  <c r="C17" i="9" s="1"/>
  <c r="H39" i="17"/>
  <c r="AJ15" i="16"/>
  <c r="L39" i="17" l="1"/>
  <c r="K39" i="17"/>
  <c r="AK15" i="16"/>
  <c r="AL15" i="16" l="1"/>
  <c r="AM15" i="16" l="1"/>
  <c r="AN15" i="16" l="1"/>
  <c r="AO15" i="16" l="1"/>
  <c r="AP15" i="16" l="1"/>
  <c r="AQ15" i="16" l="1"/>
  <c r="AR15" i="16" l="1"/>
  <c r="AS15" i="16" l="1"/>
  <c r="AT15" i="16" l="1"/>
  <c r="AT5" i="16" s="1"/>
  <c r="Q5" i="16"/>
  <c r="AQ5" i="16"/>
  <c r="Y5" i="16"/>
  <c r="T5" i="16"/>
  <c r="P5" i="16"/>
  <c r="X5" i="16"/>
  <c r="AD5" i="16"/>
  <c r="AI5" i="16"/>
  <c r="M5" i="16"/>
  <c r="AR5" i="16"/>
  <c r="AO5" i="16"/>
  <c r="AG5" i="16"/>
  <c r="AL5" i="16"/>
  <c r="V5" i="16"/>
  <c r="AJ5" i="16"/>
  <c r="AP5" i="16"/>
  <c r="S5" i="16"/>
  <c r="AC5" i="16"/>
  <c r="AA5" i="16"/>
  <c r="AS5" i="16"/>
  <c r="AH5" i="16"/>
  <c r="W5" i="16"/>
  <c r="AF5" i="16"/>
  <c r="AM5" i="16"/>
  <c r="N5" i="16"/>
  <c r="Z5" i="16"/>
  <c r="R5" i="16"/>
  <c r="AE5" i="16"/>
  <c r="U5" i="16"/>
  <c r="AN5" i="16"/>
  <c r="AB5" i="16"/>
  <c r="AK5" i="16"/>
  <c r="O5" i="16"/>
  <c r="C19" i="16" l="1" a="1"/>
  <c r="C1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Kansara, Harshal Jayesh</author>
    <author>Nandy, Paulomi</author>
  </authors>
  <commentList>
    <comment ref="P8" authorId="0" shapeId="0" xr:uid="{6ED3CBD3-B28D-4591-AD36-1EDB7065B427}">
      <text>
        <r>
          <rPr>
            <b/>
            <sz val="11"/>
            <color indexed="81"/>
            <rFont val="Arial"/>
            <family val="2"/>
          </rPr>
          <t>The person who completes the task or makes the decision.</t>
        </r>
      </text>
    </comment>
    <comment ref="Q8" authorId="0" shapeId="0" xr:uid="{EBFB1638-C793-4E10-A42D-DF870408B89C}">
      <text>
        <r>
          <rPr>
            <b/>
            <sz val="12"/>
            <color indexed="81"/>
            <rFont val="Arial"/>
            <family val="2"/>
          </rPr>
          <t>The person who owns the task or signs of on it.</t>
        </r>
      </text>
    </comment>
    <comment ref="R8" authorId="0" shapeId="0" xr:uid="{AC0A4A31-CAB8-4170-BFC3-65D7384F6807}">
      <text>
        <r>
          <rPr>
            <b/>
            <sz val="12"/>
            <color theme="1"/>
            <rFont val="Arial"/>
            <family val="2"/>
          </rPr>
          <t>The person who provides input before the work can be done.</t>
        </r>
      </text>
    </comment>
    <comment ref="S8" authorId="0" shapeId="0" xr:uid="{B086899C-9084-49C2-BD5D-2345A3598354}">
      <text>
        <r>
          <rPr>
            <b/>
            <sz val="12"/>
            <color indexed="81"/>
            <rFont val="Arial"/>
            <family val="2"/>
          </rPr>
          <t>The person who needs to be kept updated on the progress or decision.</t>
        </r>
      </text>
    </comment>
    <comment ref="P102" authorId="1" shapeId="0" xr:uid="{709BAEE3-8DEA-45A6-BA60-2150F4A97CCE}">
      <text>
        <r>
          <rPr>
            <sz val="14"/>
            <color indexed="81"/>
            <rFont val="Tahoma"/>
            <family val="2"/>
          </rPr>
          <t>Start year &gt;=2012</t>
        </r>
      </text>
    </comment>
    <comment ref="R102" authorId="1" shapeId="0" xr:uid="{B14CEEA2-9269-4D4E-9599-83A9020D73FF}">
      <text>
        <r>
          <rPr>
            <sz val="14"/>
            <color indexed="81"/>
            <rFont val="Tahoma"/>
            <family val="2"/>
          </rPr>
          <t xml:space="preserve">Target year &lt;=2050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Kansara, Harshal Jayesh</author>
  </authors>
  <commentList>
    <comment ref="P21" authorId="0" shapeId="0" xr:uid="{140A0C9B-3AC6-47FE-A96F-F069CB177E72}">
      <text>
        <r>
          <rPr>
            <sz val="16"/>
            <color indexed="81"/>
            <rFont val="Arial"/>
            <family val="2"/>
          </rPr>
          <t>If text in cell turns red, it means the total entered GHG reduction exceeds your set goal.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Nandy, Paulomi</author>
  </authors>
  <commentList>
    <comment ref="A77" authorId="0" shapeId="0" xr:uid="{599ADC6B-B10E-4900-B701-A750A40B5822}">
      <text>
        <r>
          <rPr>
            <b/>
            <sz val="9"/>
            <color indexed="81"/>
            <rFont val="Tahoma"/>
            <family val="2"/>
          </rPr>
          <t>Nandy, Paulomi:</t>
        </r>
        <r>
          <rPr>
            <sz val="9"/>
            <color indexed="81"/>
            <rFont val="Tahoma"/>
            <family val="2"/>
          </rPr>
          <t xml:space="preserve">
Task level feedback</t>
        </r>
      </text>
    </comment>
    <comment ref="A80" authorId="0" shapeId="0" xr:uid="{B6FA9292-4DD4-46A5-96B4-32453440444D}">
      <text>
        <r>
          <rPr>
            <b/>
            <sz val="9"/>
            <color indexed="81"/>
            <rFont val="Tahoma"/>
            <family val="2"/>
          </rPr>
          <t>Nandy, Paulomi:</t>
        </r>
        <r>
          <rPr>
            <sz val="9"/>
            <color indexed="81"/>
            <rFont val="Tahoma"/>
            <family val="2"/>
          </rPr>
          <t xml:space="preserve">
Maybe do a milestone level response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<sst xmlns="http://schemas.openxmlformats.org/spreadsheetml/2006/main" count="1531" uniqueCount="1170">
  <si>
    <t>Choose from dropdown list (specific options provided)</t>
  </si>
  <si>
    <t>Question 1</t>
  </si>
  <si>
    <t>Option 1</t>
  </si>
  <si>
    <t>Question 2</t>
  </si>
  <si>
    <t>Question 3</t>
  </si>
  <si>
    <t>Question 4</t>
  </si>
  <si>
    <t>Question 5</t>
  </si>
  <si>
    <t>Select all that apply (multiple answers allowed)</t>
  </si>
  <si>
    <t xml:space="preserve">Option 1 </t>
  </si>
  <si>
    <t>Option 2</t>
  </si>
  <si>
    <t>Option 3</t>
  </si>
  <si>
    <t>Option 4</t>
  </si>
  <si>
    <t>Option 5</t>
  </si>
  <si>
    <t xml:space="preserve">Select any one (only one choice permitted) </t>
  </si>
  <si>
    <t xml:space="preserve">Milestone 1: Establish Greenhouse Gas Inventory and Scope of Work </t>
  </si>
  <si>
    <t>Description: Engage stakeholders and align the inventory management plan, emissions reduction targets, and ERP scope of work</t>
  </si>
  <si>
    <t>Task 1</t>
  </si>
  <si>
    <t>SCORE (Final)</t>
  </si>
  <si>
    <t>Executive Leadership</t>
  </si>
  <si>
    <t>Financing team</t>
  </si>
  <si>
    <t>Engineering and Operations</t>
  </si>
  <si>
    <t xml:space="preserve">Procurement </t>
  </si>
  <si>
    <t>Project Management</t>
  </si>
  <si>
    <t>Communications</t>
  </si>
  <si>
    <t xml:space="preserve">Legal </t>
  </si>
  <si>
    <t>Research and development</t>
  </si>
  <si>
    <t>Task 2</t>
  </si>
  <si>
    <t>Operational Control</t>
  </si>
  <si>
    <t>Financial Control</t>
  </si>
  <si>
    <t>Equity Share</t>
  </si>
  <si>
    <t>i</t>
  </si>
  <si>
    <t>Yes</t>
  </si>
  <si>
    <t xml:space="preserve">Outside our current strategic focus </t>
  </si>
  <si>
    <t>ii</t>
  </si>
  <si>
    <t>iii</t>
  </si>
  <si>
    <t>iv</t>
  </si>
  <si>
    <t>v</t>
  </si>
  <si>
    <t>vi</t>
  </si>
  <si>
    <t>Manual data collection with basic spreadsheet checks</t>
  </si>
  <si>
    <t>Task 3</t>
  </si>
  <si>
    <t>Task 4</t>
  </si>
  <si>
    <t>Using cost-benefit analysis, with some qualitative consideration to emission reduction potential</t>
  </si>
  <si>
    <t>Multi-criteria analysis including ROI, emissions impact, and technical feasibility</t>
  </si>
  <si>
    <t>Other sustainability metrics (e.g. water, waste reduction)</t>
  </si>
  <si>
    <t xml:space="preserve">Capital/operating costs </t>
  </si>
  <si>
    <t xml:space="preserve">Workforce requirements </t>
  </si>
  <si>
    <t xml:space="preserve">Availability of financing </t>
  </si>
  <si>
    <t>Technology availability</t>
  </si>
  <si>
    <t xml:space="preserve">Safety and Reliability </t>
  </si>
  <si>
    <t xml:space="preserve">Product quality and/or certification of products </t>
  </si>
  <si>
    <t xml:space="preserve">Throughput </t>
  </si>
  <si>
    <t xml:space="preserve">Market positioning </t>
  </si>
  <si>
    <t>Impacts to production schedules</t>
  </si>
  <si>
    <t>TOTAL SCORE FOR MILESTONE 1</t>
  </si>
  <si>
    <t>Milestone 2: Categorize Portfolio</t>
  </si>
  <si>
    <t>Select characteristics of the portfolio</t>
  </si>
  <si>
    <t>SCORE (FINAL)</t>
  </si>
  <si>
    <t xml:space="preserve">Total energy reduction opportunity </t>
  </si>
  <si>
    <t xml:space="preserve">Total GHG emissions reduction opportunity </t>
  </si>
  <si>
    <t xml:space="preserve">Facility type and product line at the facility </t>
  </si>
  <si>
    <t xml:space="preserve">Ownership of facility </t>
  </si>
  <si>
    <t xml:space="preserve">Vintage of building  </t>
  </si>
  <si>
    <t>Geographic location based on carbon intensity of electric grid</t>
  </si>
  <si>
    <t>Geographic location based on energy market and utility</t>
  </si>
  <si>
    <t>High process or systems emissions in the facility</t>
  </si>
  <si>
    <t>Equipment vintages expected lifetime, and/or replacement schedule</t>
  </si>
  <si>
    <t xml:space="preserve">Identify and quantify GHG emissions for Significant Greenhouse Gas Emitters (SGEs) </t>
  </si>
  <si>
    <t>Basic list of main SGEs at the facilities</t>
  </si>
  <si>
    <t>Documented inventory of significant emitters with emissions by source</t>
  </si>
  <si>
    <t xml:space="preserve">Do not have list of SGEs </t>
  </si>
  <si>
    <t xml:space="preserve">Benchmark Significant Greenhouse Gas Emitters (SGEs) </t>
  </si>
  <si>
    <t>No</t>
  </si>
  <si>
    <t>Yes - We maintain our own comprehensive energy management handbook</t>
  </si>
  <si>
    <t>Yes - We utilize Better Plants Program resources and guidelines</t>
  </si>
  <si>
    <t>Yes - We use a combination of internal and external resources</t>
  </si>
  <si>
    <t>No - We are interested in developing these protocols</t>
  </si>
  <si>
    <t xml:space="preserve">Select systems for further analysis </t>
  </si>
  <si>
    <t>TOTAL SCORE FOR MILESTONE 2</t>
  </si>
  <si>
    <t>Internal stakeholders</t>
  </si>
  <si>
    <t>Option menu</t>
  </si>
  <si>
    <t>Put additional notes or comments here</t>
  </si>
  <si>
    <t>Help Text</t>
  </si>
  <si>
    <t>Organizations should establish standardized processes to collect, quantify, and verify emissions data across facilities to create a comprehensive GHG inventory following the Greenhouse Gas Protocol, which must include Scope 1 (direct emissions from owned sources), Scope 2 (indirect emissions from purchased energy), and optionally Scope 3 (value chain emissions). The inventory should account for all significant emission sources, including energy-related emissions from boilers and vehicles, non-energy emissions from industrial processes, and fugitive emissions from fluorinated gases. Understanding which sources contribute most significantly to the organization's GHG emissions helps identify strategic reduction opportunities, such as prioritizing renewable electricity for high Scope 2 emitters or focusing on electrification and low-carbon fuel switching for those with predominantly Scope 1 emissions.</t>
  </si>
  <si>
    <t xml:space="preserve">Organizations should identify their SGEs at both facility and equipment/process levels, which can be large individual equipment like boilers or distributed  sources like refrigerant leaks from cooling systems. </t>
  </si>
  <si>
    <t xml:space="preserve">Benchmark SGEs relative to similar systems to gauge performance. Benchmarking can be used to identify best practices and ideal operating conditions and opportunities for performance improvement.  </t>
  </si>
  <si>
    <t>Organizations need to strategically determine which systems and facilities to prioritize in their decarbonization efforts, typically focusing on SGEs but also considering factors like cost, location and scalability. The prioritization approach may vary based on risk tolerance implementation capacity, state and local policies, incentives, and  fuel prices.</t>
  </si>
  <si>
    <t>Milestone 3: Assess Measures</t>
  </si>
  <si>
    <t>Milestone 4: Develop Scenarios</t>
  </si>
  <si>
    <t xml:space="preserve">Milestone 1: Establish Inventory &amp; Scope of Work </t>
  </si>
  <si>
    <t>Language:</t>
  </si>
  <si>
    <t>English</t>
  </si>
  <si>
    <t>Currency:</t>
  </si>
  <si>
    <t>USD</t>
  </si>
  <si>
    <t>Acknowledgment</t>
  </si>
  <si>
    <t xml:space="preserve">     Development Team:</t>
  </si>
  <si>
    <t xml:space="preserve">     Paulomi Nandy</t>
  </si>
  <si>
    <t xml:space="preserve">     Industry Partners:</t>
  </si>
  <si>
    <t xml:space="preserve">     Advising and Outreach:</t>
  </si>
  <si>
    <t xml:space="preserve">     Paul Lemar (ORNL)</t>
  </si>
  <si>
    <t xml:space="preserve">     Sponsor:</t>
  </si>
  <si>
    <t>This tool was prepared as an account of work sponsored by an agency of the United States Government. Neither the United States Government nor any agency thereof, nor any of their employees, makes any warranty, express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any agency thereof. The views and opinions of authors expressed herein do not necessarily state or reflect those of the United States Government or any agency thereof.</t>
  </si>
  <si>
    <t xml:space="preserve">     Harshal J Kansara</t>
  </si>
  <si>
    <t>Contact Information</t>
  </si>
  <si>
    <t>Phone:</t>
  </si>
  <si>
    <t>Specify if other:</t>
  </si>
  <si>
    <t>End Use</t>
  </si>
  <si>
    <t>NAICS Code(a)</t>
  </si>
  <si>
    <t>Alumina And Aluminum</t>
  </si>
  <si>
    <t>3313</t>
  </si>
  <si>
    <t>Cements</t>
  </si>
  <si>
    <t>327310</t>
  </si>
  <si>
    <t>Chemicals</t>
  </si>
  <si>
    <t>325</t>
  </si>
  <si>
    <t>Computer And Electronic Products</t>
  </si>
  <si>
    <t>334</t>
  </si>
  <si>
    <t>Fabricated Metal Products</t>
  </si>
  <si>
    <t>332</t>
  </si>
  <si>
    <t>Food</t>
  </si>
  <si>
    <t>311</t>
  </si>
  <si>
    <t>Foundries</t>
  </si>
  <si>
    <t>3315</t>
  </si>
  <si>
    <t>Glass Products From Purchased Glass</t>
  </si>
  <si>
    <t>327215</t>
  </si>
  <si>
    <t>Iron And Steel Mills And Ferroalloys</t>
  </si>
  <si>
    <t>331110</t>
  </si>
  <si>
    <t>Iron Foundries</t>
  </si>
  <si>
    <t>331511</t>
  </si>
  <si>
    <t>Dairy Products</t>
  </si>
  <si>
    <t>3115</t>
  </si>
  <si>
    <t>Miscellaneous</t>
  </si>
  <si>
    <t>339</t>
  </si>
  <si>
    <t>Nonferrous Metal (Except Aluminum) Smelting And Refining</t>
  </si>
  <si>
    <t>331410</t>
  </si>
  <si>
    <t>Nonferrous Metal Die-Casting Foundries</t>
  </si>
  <si>
    <t>331523</t>
  </si>
  <si>
    <t>Nonferrous Metals, Except Aluminum</t>
  </si>
  <si>
    <t>3314</t>
  </si>
  <si>
    <t>Nonmetallic Mineral Products</t>
  </si>
  <si>
    <t>327</t>
  </si>
  <si>
    <t>Other Aluminum Rolling, Drawing And Extruding</t>
  </si>
  <si>
    <t>331318</t>
  </si>
  <si>
    <t>Other Basic Inorganic Chemicals</t>
  </si>
  <si>
    <t>325180</t>
  </si>
  <si>
    <t>Other Basic Organic Chemicals</t>
  </si>
  <si>
    <t>325199</t>
  </si>
  <si>
    <t>Other Petroleum And Coal Products</t>
  </si>
  <si>
    <t>324199</t>
  </si>
  <si>
    <t>Other Pressed And Blown Glass And Glassware</t>
  </si>
  <si>
    <t>327212</t>
  </si>
  <si>
    <t>Paper</t>
  </si>
  <si>
    <t>322</t>
  </si>
  <si>
    <t>Paper Mills, Except Newsprint</t>
  </si>
  <si>
    <t>322121</t>
  </si>
  <si>
    <t>Petrochemicals</t>
  </si>
  <si>
    <t>325110</t>
  </si>
  <si>
    <t>Petroleum And Coal Products</t>
  </si>
  <si>
    <t>324</t>
  </si>
  <si>
    <t>Petroleum Refineries</t>
  </si>
  <si>
    <t>324110</t>
  </si>
  <si>
    <t>Pharmaceutical Preparation</t>
  </si>
  <si>
    <t>325412</t>
  </si>
  <si>
    <t>Pharmaceuticals And Medicines</t>
  </si>
  <si>
    <t>3254</t>
  </si>
  <si>
    <t>Plastics And Rubber Products</t>
  </si>
  <si>
    <t>326</t>
  </si>
  <si>
    <t>Plastics Materials And Resins</t>
  </si>
  <si>
    <t>325211</t>
  </si>
  <si>
    <t>Primary Metals</t>
  </si>
  <si>
    <t xml:space="preserve"> 331</t>
  </si>
  <si>
    <t>Pulp Mills</t>
  </si>
  <si>
    <t>322110</t>
  </si>
  <si>
    <t>Secondary Smelting And Alloying Of Aluminum</t>
  </si>
  <si>
    <t>331314</t>
  </si>
  <si>
    <t>Semiconductors And Related Devices</t>
  </si>
  <si>
    <t>334413</t>
  </si>
  <si>
    <t>Steel Products From Purchased Steel</t>
  </si>
  <si>
    <t>3312</t>
  </si>
  <si>
    <t>Textile Mills</t>
  </si>
  <si>
    <t>313</t>
  </si>
  <si>
    <t>Textile Product Mills</t>
  </si>
  <si>
    <t>314</t>
  </si>
  <si>
    <t>Tobacco</t>
  </si>
  <si>
    <t>3122</t>
  </si>
  <si>
    <t>Transportation Equipment</t>
  </si>
  <si>
    <t>336</t>
  </si>
  <si>
    <t>Not involved in ERP development</t>
  </si>
  <si>
    <t>Renewable energy consultants</t>
  </si>
  <si>
    <t>Investors, banks, and lending institutions</t>
  </si>
  <si>
    <t>Insurance providers</t>
  </si>
  <si>
    <t>Energy regulatory authorities</t>
  </si>
  <si>
    <t>Local government sustainability offices</t>
  </si>
  <si>
    <t>Climate change regulators and policymakers</t>
  </si>
  <si>
    <t>Neighboring businesses</t>
  </si>
  <si>
    <t>Research institutions and universities</t>
  </si>
  <si>
    <t>Industry associations</t>
  </si>
  <si>
    <t>Carbon credit trading partners</t>
  </si>
  <si>
    <t>Other (Please specify)</t>
  </si>
  <si>
    <t>Not Decided Yet</t>
  </si>
  <si>
    <t>No strategy in place to check data quality</t>
  </si>
  <si>
    <t xml:space="preserve">We have set and publicly disclosed an absolute reduction target </t>
  </si>
  <si>
    <t>We do not currently have emissions reduction targets</t>
  </si>
  <si>
    <t>We have an internal absolute reduction target</t>
  </si>
  <si>
    <t xml:space="preserve">We have set an emissions intensity reduction target rather than an absolute target </t>
  </si>
  <si>
    <t>We are currently developing our emissions reduction target</t>
  </si>
  <si>
    <t>We have set a near-term net zero goal (by 2030 or earlier)</t>
  </si>
  <si>
    <t xml:space="preserve">We have set a mid-term net zero goal (2031-2040) </t>
  </si>
  <si>
    <t xml:space="preserve">We have set a long-term net zero goal (2041-2050) </t>
  </si>
  <si>
    <t xml:space="preserve">We are currently developing our net zero goal </t>
  </si>
  <si>
    <t xml:space="preserve">We do not currently have net zero goals </t>
  </si>
  <si>
    <t xml:space="preserve">Yes, we have successfully met our renewable energy procurement goal </t>
  </si>
  <si>
    <t>Yes, we have an active renewable energy procurement goal and are working toward achieving it</t>
  </si>
  <si>
    <t xml:space="preserve">No, but we are in the process of developing renewable energy procurement targets </t>
  </si>
  <si>
    <t xml:space="preserve">No, we are not pursuing renewable energy procurement goals at this time. </t>
  </si>
  <si>
    <t>We do not have formal method of project prioritization</t>
  </si>
  <si>
    <t>We benchmark our SGEs with industry standards (external benchmarking)</t>
  </si>
  <si>
    <t>Through detailed technical and economic feasibility via third-party technology assessments and recommendations for each major emission source</t>
  </si>
  <si>
    <t xml:space="preserve">By piloting selected technologies at specific facilities before wider implementation </t>
  </si>
  <si>
    <t xml:space="preserve">Through industry partnerships and knowledge sharing of proven solutions </t>
  </si>
  <si>
    <t xml:space="preserve">Using internal engineering teams to review and develop cost-benefit analyses </t>
  </si>
  <si>
    <t xml:space="preserve">We have not yet developed a formal assessment process </t>
  </si>
  <si>
    <r>
      <t>This multi-sheet survey and uses different types of response formats that you'll encounter throughout the sections. When answering questions, you'll be asked to:</t>
    </r>
    <r>
      <rPr>
        <sz val="12"/>
        <color theme="7"/>
        <rFont val="Arial"/>
        <family val="2"/>
      </rPr>
      <t xml:space="preserve"> a) Choose from drop-down lists where specific options are provided</t>
    </r>
    <r>
      <rPr>
        <sz val="12"/>
        <rFont val="Arial"/>
        <family val="2"/>
      </rPr>
      <t xml:space="preserve">, </t>
    </r>
    <r>
      <rPr>
        <sz val="12"/>
        <color rgb="FF92D050"/>
        <rFont val="Arial"/>
        <family val="2"/>
      </rPr>
      <t>b) Select all applicable options when multiple answers are allowed</t>
    </r>
    <r>
      <rPr>
        <sz val="12"/>
        <rFont val="Arial"/>
        <family val="2"/>
      </rPr>
      <t>,</t>
    </r>
    <r>
      <rPr>
        <sz val="12"/>
        <color theme="1"/>
        <rFont val="Arial"/>
        <family val="2"/>
      </rPr>
      <t xml:space="preserve"> </t>
    </r>
    <r>
      <rPr>
        <sz val="12"/>
        <color theme="5"/>
        <rFont val="Arial"/>
        <family val="2"/>
      </rPr>
      <t xml:space="preserve">c) Select any one option where only a single choice is permitted, </t>
    </r>
    <r>
      <rPr>
        <sz val="12"/>
        <color theme="1"/>
        <rFont val="Arial"/>
        <family val="2"/>
      </rPr>
      <t xml:space="preserve">or </t>
    </r>
    <r>
      <rPr>
        <sz val="12"/>
        <color theme="1" tint="0.499984740745262"/>
        <rFont val="Arial"/>
        <family val="2"/>
      </rPr>
      <t>d) Type in your answers in the designated fields for open-ended responses</t>
    </r>
    <r>
      <rPr>
        <sz val="12"/>
        <color theme="1"/>
        <rFont val="Arial"/>
        <family val="2"/>
      </rPr>
      <t>. Please read each question carefully and follow the indicated response format to ensure accurate completion. Examples of the answering choices describe through the section are shown below</t>
    </r>
  </si>
  <si>
    <t>Facility level GHG emissions reduction assessment planning</t>
  </si>
  <si>
    <t>No, we have not yet identified alternative technologies or upgrades</t>
  </si>
  <si>
    <t xml:space="preserve">We are seeking guidance on how to begin </t>
  </si>
  <si>
    <t xml:space="preserve">Yes, but only at facilities that have taken the initiative to identify energy efficiency ERMs </t>
  </si>
  <si>
    <t xml:space="preserve">No, but we have evaluations planned </t>
  </si>
  <si>
    <r>
      <t xml:space="preserve">Please identify all external stakeholders involved in developing the Emission Reduction Plan? </t>
    </r>
    <r>
      <rPr>
        <i/>
        <sz val="14"/>
        <color rgb="FF92D050"/>
        <rFont val="Arial"/>
        <family val="2"/>
      </rPr>
      <t>(Select all that apply)</t>
    </r>
  </si>
  <si>
    <r>
      <t>Which consolidation approach does your company use to consolidate your GHG inventory?</t>
    </r>
    <r>
      <rPr>
        <i/>
        <sz val="14"/>
        <rFont val="Arial"/>
        <family val="2"/>
      </rPr>
      <t xml:space="preserve"> </t>
    </r>
    <r>
      <rPr>
        <i/>
        <sz val="14"/>
        <color theme="5"/>
        <rFont val="Arial"/>
        <family val="2"/>
      </rPr>
      <t>(Select any one)</t>
    </r>
  </si>
  <si>
    <r>
      <t xml:space="preserve">Scope 1 Stationary Emissions </t>
    </r>
    <r>
      <rPr>
        <i/>
        <sz val="14"/>
        <color theme="5"/>
        <rFont val="Arial"/>
        <family val="2"/>
      </rPr>
      <t>(Select any one)</t>
    </r>
  </si>
  <si>
    <r>
      <t xml:space="preserve">Scope 1 Mobile Emissions </t>
    </r>
    <r>
      <rPr>
        <i/>
        <sz val="14"/>
        <color theme="5"/>
        <rFont val="Arial"/>
        <family val="2"/>
      </rPr>
      <t>(Select any one)</t>
    </r>
  </si>
  <si>
    <r>
      <t xml:space="preserve">Scope 1 Fugitive Emissions </t>
    </r>
    <r>
      <rPr>
        <i/>
        <sz val="14"/>
        <color theme="5"/>
        <rFont val="Arial"/>
        <family val="2"/>
      </rPr>
      <t>(Select any one)</t>
    </r>
  </si>
  <si>
    <r>
      <t xml:space="preserve">Scope 1 Process Emissions </t>
    </r>
    <r>
      <rPr>
        <i/>
        <sz val="14"/>
        <color theme="5"/>
        <rFont val="Arial"/>
        <family val="2"/>
      </rPr>
      <t>(Select any one)</t>
    </r>
  </si>
  <si>
    <r>
      <t xml:space="preserve">Scope 2 Purchased Electricity </t>
    </r>
    <r>
      <rPr>
        <i/>
        <sz val="14"/>
        <color theme="5"/>
        <rFont val="Arial"/>
        <family val="2"/>
      </rPr>
      <t>(Select any one)</t>
    </r>
  </si>
  <si>
    <r>
      <t xml:space="preserve">Scope 2 Other (Steam, Compressed Air, etc) </t>
    </r>
    <r>
      <rPr>
        <i/>
        <sz val="14"/>
        <color theme="5"/>
        <rFont val="Arial"/>
        <family val="2"/>
      </rPr>
      <t>(Select any one)</t>
    </r>
  </si>
  <si>
    <r>
      <t xml:space="preserve">How do you maintain data quality and integrity in your GHG emissions tracking system </t>
    </r>
    <r>
      <rPr>
        <i/>
        <sz val="14"/>
        <color theme="5"/>
        <rFont val="Arial"/>
        <family val="2"/>
      </rPr>
      <t>(Select any one)</t>
    </r>
  </si>
  <si>
    <r>
      <t xml:space="preserve">How do you evaluate and prioritize GHG emissions reduction projects across your operations? </t>
    </r>
    <r>
      <rPr>
        <i/>
        <sz val="14"/>
        <color theme="5"/>
        <rFont val="Arial"/>
        <family val="2"/>
      </rPr>
      <t>(Select any one)</t>
    </r>
  </si>
  <si>
    <r>
      <t xml:space="preserve">Beyond emission reductions, what additional co-benefits have you identified for the proposed projects in the Emission Reduction Plan? </t>
    </r>
    <r>
      <rPr>
        <i/>
        <sz val="14"/>
        <color rgb="FF92D050"/>
        <rFont val="Arial"/>
        <family val="2"/>
      </rPr>
      <t>(Select all that apply)</t>
    </r>
  </si>
  <si>
    <t xml:space="preserve">Yes, but only at facilities that have taken the initiative to identify electrification ERMs </t>
  </si>
  <si>
    <t xml:space="preserve">Yes, we know what capacity and infrastructure upgrade needed for electrification ERMs </t>
  </si>
  <si>
    <t>We are seeking guidance on how to begin</t>
  </si>
  <si>
    <t xml:space="preserve">No, we are in process of assessing infrastructure upgrade for electrification ERMs </t>
  </si>
  <si>
    <t>No, but we have evaluations planned</t>
  </si>
  <si>
    <t xml:space="preserve">Yes, we know what capacity and infrastructure upgrade needed for low-carbon fuel switching ERMs </t>
  </si>
  <si>
    <t xml:space="preserve">No, we are in process of assessing infrastructure upgrade for low-carbon fuel switching ERMs </t>
  </si>
  <si>
    <t xml:space="preserve">No, we are not planning on pursuing low-carbon fuel switching ERMs </t>
  </si>
  <si>
    <t>Yes, we have finalized vendors or can produce our own low carbon fuel to provide for the ERM</t>
  </si>
  <si>
    <t xml:space="preserve">Yes, we are currently in process to identify vendors who can provide low carbon fuel for the ERM </t>
  </si>
  <si>
    <t xml:space="preserve">We are not at this stage but have plans in the future </t>
  </si>
  <si>
    <t>We have conducted evaluations for technically feasible sites</t>
  </si>
  <si>
    <t>Not considering due to lack of technical feasibility or high cost</t>
  </si>
  <si>
    <t>Yes, we have ERMs that will help us reduce process or fugitive emissions</t>
  </si>
  <si>
    <t xml:space="preserve">No, but we are researching firms that conduct fugitive and process related assessments </t>
  </si>
  <si>
    <t xml:space="preserve">No since we do not have any significant fugitive or process level GHG emissions </t>
  </si>
  <si>
    <t>In-Plant Trainings</t>
  </si>
  <si>
    <t>ITACs</t>
  </si>
  <si>
    <t>Onsite Energy Programs</t>
  </si>
  <si>
    <t>Treasure Hunt Trainings</t>
  </si>
  <si>
    <t>Virtual Trainings</t>
  </si>
  <si>
    <t>Energy and Decarbonization Bootcamps</t>
  </si>
  <si>
    <t>Others (Please Specify)</t>
  </si>
  <si>
    <t>Portfolio level GHG emissions reduction assessment planning</t>
  </si>
  <si>
    <t xml:space="preserve">Yes, we have a comprehensive plan that standardizes energy efficiency and operational efficiency across all facilities </t>
  </si>
  <si>
    <t xml:space="preserve">We are in process to developing energy efficiency and operational efficiency guidance for our sites </t>
  </si>
  <si>
    <t xml:space="preserve">We use Better Plants resources on a case-by-case basis when specific needs arise </t>
  </si>
  <si>
    <t xml:space="preserve">No formal process in place. </t>
  </si>
  <si>
    <t>We have not yet established a formal renewable energy procurement strategy</t>
  </si>
  <si>
    <t xml:space="preserve">Yes, we have a centralized strategy guiding renewable energy procurement across all our operations </t>
  </si>
  <si>
    <t xml:space="preserve">We have a decentralized approach where individual sites identify and implement their own renewable energy procurement opportunities </t>
  </si>
  <si>
    <t>Bundled renewable power purchase agreement (PPPA, VPPA)</t>
  </si>
  <si>
    <t>Utility green tariff/ utility procurement options</t>
  </si>
  <si>
    <t>Unbundled renewable energy credit</t>
  </si>
  <si>
    <t xml:space="preserve">Other (Please specify) </t>
  </si>
  <si>
    <t>No formal strategy as mobile emissions are very small compared to other scope of emissions</t>
  </si>
  <si>
    <t xml:space="preserve">Plan to replace highest-emission vehicles first to electric vehicles (EVs) or hybrid vehicles </t>
  </si>
  <si>
    <t>Implemented pilot program and plan to replace with alternative fuel vehicles</t>
  </si>
  <si>
    <t>Implement procurement policy requiring minimum fuel efficiency standards for new vehicles</t>
  </si>
  <si>
    <t>No formal strategy currently in place</t>
  </si>
  <si>
    <t>Energy demand flexibility</t>
  </si>
  <si>
    <t xml:space="preserve">Grid resiliency and interactivity </t>
  </si>
  <si>
    <t xml:space="preserve">Material efficiency and product circularity </t>
  </si>
  <si>
    <t>Beyond-the-fence line (co-owned or third-party solutions)</t>
  </si>
  <si>
    <t>TOTAL SCORE FOR MILESTONE 3</t>
  </si>
  <si>
    <t>Emissions Reduction Plan Score Card</t>
  </si>
  <si>
    <r>
      <t xml:space="preserve">Have you evaluated your sites for energy efficiency opportunities?  </t>
    </r>
    <r>
      <rPr>
        <i/>
        <sz val="14"/>
        <color theme="5"/>
        <rFont val="Arial"/>
        <family val="2"/>
      </rPr>
      <t>(Select any one)</t>
    </r>
  </si>
  <si>
    <r>
      <t xml:space="preserve">Have you evaluated your sites for electrification opportunities?  </t>
    </r>
    <r>
      <rPr>
        <i/>
        <sz val="14"/>
        <color theme="5"/>
        <rFont val="Arial"/>
        <family val="2"/>
      </rPr>
      <t>(Select any one)</t>
    </r>
  </si>
  <si>
    <r>
      <t xml:space="preserve">Does your assessment process consider planned renewable energy purchases and/or greening of the grid impact on Scope 2 emissions factors, when evaluating potential electrification ERMs? </t>
    </r>
    <r>
      <rPr>
        <i/>
        <sz val="14"/>
        <color theme="5"/>
        <rFont val="Arial"/>
        <family val="2"/>
      </rPr>
      <t>(Select any one)</t>
    </r>
  </si>
  <si>
    <r>
      <t xml:space="preserve">Have you assessed capacity and infrastructure upgrade needed for electrification ERMs? </t>
    </r>
    <r>
      <rPr>
        <i/>
        <sz val="14"/>
        <color theme="5"/>
        <rFont val="Arial"/>
        <family val="2"/>
      </rPr>
      <t>(Select any one)</t>
    </r>
  </si>
  <si>
    <r>
      <t xml:space="preserve">Have you evaluated your sites for low-carbon fuel switching opportunities? </t>
    </r>
    <r>
      <rPr>
        <i/>
        <sz val="14"/>
        <color theme="5"/>
        <rFont val="Arial"/>
        <family val="2"/>
      </rPr>
      <t>(Select any one)</t>
    </r>
  </si>
  <si>
    <r>
      <t xml:space="preserve">Have you assessed capacity and infrastructure upgrade needed for low-carbon fuel switching ERMs? </t>
    </r>
    <r>
      <rPr>
        <i/>
        <sz val="14"/>
        <color theme="5"/>
        <rFont val="Arial"/>
        <family val="2"/>
      </rPr>
      <t>(Select any one)</t>
    </r>
  </si>
  <si>
    <r>
      <t xml:space="preserve">Have you identified vendors or third-party provider who can provide low carbon fuel over the lifetime of the ERMs? </t>
    </r>
    <r>
      <rPr>
        <i/>
        <sz val="14"/>
        <color theme="5"/>
        <rFont val="Arial"/>
        <family val="2"/>
      </rPr>
      <t>(Select any one)</t>
    </r>
  </si>
  <si>
    <r>
      <t xml:space="preserve">Have you evaluated your sites for on-site implementation of renewables? </t>
    </r>
    <r>
      <rPr>
        <i/>
        <sz val="14"/>
        <color theme="5"/>
        <rFont val="Arial"/>
        <family val="2"/>
      </rPr>
      <t>(Select any one)</t>
    </r>
  </si>
  <si>
    <r>
      <t xml:space="preserve">Are you considering carbon capture utilization and sequestration as an important technology to meet your long-term sustainability goal? </t>
    </r>
    <r>
      <rPr>
        <i/>
        <sz val="14"/>
        <color theme="5"/>
        <rFont val="Arial"/>
        <family val="2"/>
      </rPr>
      <t>(Select any one)</t>
    </r>
  </si>
  <si>
    <r>
      <t xml:space="preserve">Has your company included an evaluation of any significant fugitive and process related ERMs in an assessment for greenhouse gas (GHG) reduction opportunities? </t>
    </r>
    <r>
      <rPr>
        <i/>
        <sz val="14"/>
        <color theme="5"/>
        <rFont val="Arial"/>
        <family val="2"/>
      </rPr>
      <t>(Select any one)</t>
    </r>
  </si>
  <si>
    <r>
      <t xml:space="preserve">Has your company participated in any training programs or assessments offered by the DOE’s Better Plants Program to help identify alternate technology or system updates? </t>
    </r>
    <r>
      <rPr>
        <i/>
        <sz val="14"/>
        <color rgb="FF92D050"/>
        <rFont val="Arial"/>
        <family val="2"/>
      </rPr>
      <t>(Select all that apply)</t>
    </r>
  </si>
  <si>
    <r>
      <t xml:space="preserve">How does your company approach the implementation of energy efficiency measures and operational efficiency (industry best practices) across facilities? </t>
    </r>
    <r>
      <rPr>
        <i/>
        <sz val="14"/>
        <color theme="5"/>
        <rFont val="Arial"/>
        <family val="2"/>
      </rPr>
      <t>(Select any one)</t>
    </r>
  </si>
  <si>
    <r>
      <t xml:space="preserve">Do you have a corporate wide strategy for procuring renewable energy? </t>
    </r>
    <r>
      <rPr>
        <i/>
        <sz val="14"/>
        <color theme="5"/>
        <rFont val="Arial"/>
        <family val="2"/>
      </rPr>
      <t>(Select any one)</t>
    </r>
  </si>
  <si>
    <r>
      <t xml:space="preserve">How have you identified and quantified your significant GHG emitters (SGEs)? </t>
    </r>
    <r>
      <rPr>
        <i/>
        <sz val="14"/>
        <color theme="5"/>
        <rFont val="Arial"/>
        <family val="2"/>
      </rPr>
      <t>(Select any one)</t>
    </r>
  </si>
  <si>
    <r>
      <t xml:space="preserve">Does your organization have documented energy management protocols and operational standards? </t>
    </r>
    <r>
      <rPr>
        <i/>
        <sz val="14"/>
        <color theme="5"/>
        <rFont val="Arial"/>
        <family val="2"/>
      </rPr>
      <t>(Select any one)</t>
    </r>
  </si>
  <si>
    <t>Instructions</t>
  </si>
  <si>
    <t xml:space="preserve">Other impacts in addition to environmental impacts </t>
  </si>
  <si>
    <r>
      <t xml:space="preserve">Which of the cost parameters are accounted for in your emission reduction scenario(s) for developing an effective ERP? </t>
    </r>
    <r>
      <rPr>
        <i/>
        <sz val="14"/>
        <color rgb="FF92D050"/>
        <rFont val="Arial"/>
        <family val="2"/>
      </rPr>
      <t>(Select all that apply)</t>
    </r>
  </si>
  <si>
    <t xml:space="preserve">Variations in cost of grid and renewable electricity </t>
  </si>
  <si>
    <t xml:space="preserve">Variations in cost of equipment /inflation </t>
  </si>
  <si>
    <t xml:space="preserve">Variations in labor, operational and maintenance cost </t>
  </si>
  <si>
    <r>
      <t xml:space="preserve">Which of the financing scenarios you are evaluating to fund your ERMs for your ERP? </t>
    </r>
    <r>
      <rPr>
        <i/>
        <sz val="14"/>
        <color rgb="FF92D050"/>
        <rFont val="Arial"/>
        <family val="2"/>
      </rPr>
      <t>(Select all that apply)</t>
    </r>
  </si>
  <si>
    <t xml:space="preserve">Internal Cost of Carbon </t>
  </si>
  <si>
    <t xml:space="preserve">Internal funding (e.g. capital expenditure, revolving sustainability funds) </t>
  </si>
  <si>
    <r>
      <t xml:space="preserve">When evaluating technologies, based on ERMs for your ERP, select all the key considerations you make for emissions reduction scenarios? </t>
    </r>
    <r>
      <rPr>
        <i/>
        <sz val="14"/>
        <color rgb="FF92D050"/>
        <rFont val="Arial"/>
        <family val="2"/>
      </rPr>
      <t>(Select all that apply)</t>
    </r>
  </si>
  <si>
    <t xml:space="preserve">Energy and utility demand </t>
  </si>
  <si>
    <t xml:space="preserve">Regulatory compliance and permitting requirements </t>
  </si>
  <si>
    <t xml:space="preserve">Changes to portfolio (Acquisitions, Divestment, Expansions, Sales, etc.) </t>
  </si>
  <si>
    <t xml:space="preserve">Production capacity changes </t>
  </si>
  <si>
    <t xml:space="preserve">Market expansion </t>
  </si>
  <si>
    <t xml:space="preserve">Facility modification plans </t>
  </si>
  <si>
    <t>Energy efficiency</t>
  </si>
  <si>
    <t>Electrification technology</t>
  </si>
  <si>
    <t>Low carbon fuels (e.g. biofuels and H2)</t>
  </si>
  <si>
    <t>Other (please specify)</t>
  </si>
  <si>
    <t>Technology</t>
  </si>
  <si>
    <t>Start Year</t>
  </si>
  <si>
    <t>End Year</t>
  </si>
  <si>
    <t>TOTAL SCORE FOR MILESTONE 4</t>
  </si>
  <si>
    <t>Milestone 5: Define Emissions Reduction Plan</t>
  </si>
  <si>
    <t xml:space="preserve">Develop work plan </t>
  </si>
  <si>
    <t xml:space="preserve">Not started on this effort </t>
  </si>
  <si>
    <t>Dedicated budget approved, specific funding allocated for key initiatives and resources are assigned</t>
  </si>
  <si>
    <t xml:space="preserve">Initial budget approved but may need additional funding, some resources allocated but gaps remain </t>
  </si>
  <si>
    <t xml:space="preserve">Preliminary budget estimates developed; resource requirements being assessed </t>
  </si>
  <si>
    <t>Minimal budget available, relying on existing resources, working to seek external funding or grants</t>
  </si>
  <si>
    <t xml:space="preserve">Comprehensive timeline established with detailed project schedule and clear timelines </t>
  </si>
  <si>
    <t xml:space="preserve">Preliminary timeline established with major milestone identified </t>
  </si>
  <si>
    <t xml:space="preserve">Timeline under development and working to establish realistic timeframes </t>
  </si>
  <si>
    <t xml:space="preserve">No formal timeline for deployment </t>
  </si>
  <si>
    <t xml:space="preserve">Ongoing implementation and adjustable based on progress and learning. </t>
  </si>
  <si>
    <r>
      <t>Do you have budget and resources allocated for implementation of your ERP?</t>
    </r>
    <r>
      <rPr>
        <i/>
        <sz val="14"/>
        <color theme="5"/>
        <rFont val="Arial"/>
        <family val="2"/>
      </rPr>
      <t xml:space="preserve"> (Select any one)</t>
    </r>
  </si>
  <si>
    <r>
      <t>Do you have set timelines for project implementation for your ERP?</t>
    </r>
    <r>
      <rPr>
        <i/>
        <sz val="14"/>
        <color theme="5"/>
        <rFont val="Arial"/>
        <family val="2"/>
      </rPr>
      <t xml:space="preserve"> (Select any one)</t>
    </r>
  </si>
  <si>
    <r>
      <t xml:space="preserve">Have you identified potential challenges for during implementation of your ERMs? </t>
    </r>
    <r>
      <rPr>
        <i/>
        <sz val="14"/>
        <color theme="5"/>
        <rFont val="Arial"/>
        <family val="2"/>
      </rPr>
      <t>(Select any one)</t>
    </r>
  </si>
  <si>
    <t>Measure and verify GHG emissions reductions</t>
  </si>
  <si>
    <t>Organization employs an advanced measurement and verification (M&amp;V) system</t>
  </si>
  <si>
    <t>Organization maintains a systematic approach to measuring ERP impacts through regular data collection</t>
  </si>
  <si>
    <t xml:space="preserve">We have no verification system in place </t>
  </si>
  <si>
    <t>Document and share key learnings from project implementation</t>
  </si>
  <si>
    <t>Organization has implemented a structured knowledge management system with dedicated platforms for documenting project learnings</t>
  </si>
  <si>
    <t xml:space="preserve">Organization maintains regular documentation of project learnings through structured reports </t>
  </si>
  <si>
    <t>Organization documents and shares learnings on a need to do basis</t>
  </si>
  <si>
    <t>No formal method to share key learnings from ERP implementation</t>
  </si>
  <si>
    <t xml:space="preserve">Organization captures key learnings through simple project reports and informal team discussions </t>
  </si>
  <si>
    <t>Continuous evaluation of circumstances and revision of ERP</t>
  </si>
  <si>
    <r>
      <t>How does your organization capture, document, and share key learnings from ERP projects implementation?</t>
    </r>
    <r>
      <rPr>
        <i/>
        <sz val="14"/>
        <color theme="5"/>
        <rFont val="Arial"/>
        <family val="2"/>
      </rPr>
      <t xml:space="preserve"> (Select any one)</t>
    </r>
  </si>
  <si>
    <r>
      <t xml:space="preserve">How are you measuring and verifying emission reduction for ERPs? </t>
    </r>
    <r>
      <rPr>
        <i/>
        <sz val="14"/>
        <color theme="5"/>
        <rFont val="Arial"/>
        <family val="2"/>
      </rPr>
      <t>(Select any one)</t>
    </r>
  </si>
  <si>
    <r>
      <t xml:space="preserve">How frequently will you review and update your implementation plans? </t>
    </r>
    <r>
      <rPr>
        <i/>
        <sz val="14"/>
        <color theme="5"/>
        <rFont val="Arial"/>
        <family val="2"/>
      </rPr>
      <t>(Select any one)</t>
    </r>
  </si>
  <si>
    <t xml:space="preserve">Every 2-4 years </t>
  </si>
  <si>
    <t xml:space="preserve">Every 5-8 years </t>
  </si>
  <si>
    <t xml:space="preserve">Make updates to ERP as and when needed </t>
  </si>
  <si>
    <t xml:space="preserve">Still in process of developing an ERP </t>
  </si>
  <si>
    <t xml:space="preserve">No immediate plans </t>
  </si>
  <si>
    <t>TOTAL SCORE FOR ONGOING IMPLEMENTATION</t>
  </si>
  <si>
    <t>Assess scenarios and select pathway</t>
  </si>
  <si>
    <t xml:space="preserve">We have an initial ERM inventory but haven't completed validation or scenario analysis </t>
  </si>
  <si>
    <t>We have begun identifying ERMs at select facilities only</t>
  </si>
  <si>
    <t xml:space="preserve">We have not yet developed an ERM inventory </t>
  </si>
  <si>
    <t>Governance standards and procedures</t>
  </si>
  <si>
    <t>Project standards</t>
  </si>
  <si>
    <t>Updated training program</t>
  </si>
  <si>
    <t>Procurement practices</t>
  </si>
  <si>
    <t>Financing practices</t>
  </si>
  <si>
    <t>Communications standards and procedures</t>
  </si>
  <si>
    <t>Develop sustainability teams to support decarbonization effort</t>
  </si>
  <si>
    <t>Provide recognition to employees helping drive sustainability efforts</t>
  </si>
  <si>
    <t>Assess climate and financial risk related to decarbonization</t>
  </si>
  <si>
    <t>Report sustainability efforts through public reporting (e.g. CDP, TCFD, SASB etc.)</t>
  </si>
  <si>
    <t>Standards have not been updated</t>
  </si>
  <si>
    <t>Develop preventive maintenance plan</t>
  </si>
  <si>
    <t>Provide training to employees on operation and maintenance of new technology</t>
  </si>
  <si>
    <t>Conduct equipment leak monitoring program to reduce energy waste and maintain equipment health</t>
  </si>
  <si>
    <t>Keep record of building upgrades and equipment replacement at end of life</t>
  </si>
  <si>
    <t>Conduct periodic energy and decarbonization assessments</t>
  </si>
  <si>
    <t>Standards now include carbon pricing and emissions impact in all capital project evaluations</t>
  </si>
  <si>
    <t>We have updated our ROI calculations to include energy savings and other sustainability benefits</t>
  </si>
  <si>
    <t>We have created specific evaluation criteria for emissions reduction projects</t>
  </si>
  <si>
    <t>We have modified payback period requirements for decarbonization initiatives</t>
  </si>
  <si>
    <t>Training employees (including c-suite) on sustainability topics</t>
  </si>
  <si>
    <t>Provide resources and tools to employees to help quantifying decarbonization opportunities</t>
  </si>
  <si>
    <t>Provide certification information to help develop workforce to help decarbonization</t>
  </si>
  <si>
    <t>Designate subject matter experts to drive strategic initiatives</t>
  </si>
  <si>
    <r>
      <t xml:space="preserve">Select all the organizational policies that are being updates for developing an effective Emissions Reduction Plan? </t>
    </r>
    <r>
      <rPr>
        <i/>
        <sz val="14"/>
        <color rgb="FF92D050"/>
        <rFont val="Arial"/>
        <family val="2"/>
      </rPr>
      <t>(Select all that apply)</t>
    </r>
  </si>
  <si>
    <t>Engage procurement team to help purchase renewable or low carbon fuel</t>
  </si>
  <si>
    <t>Educate and develop plan for replacement of equipment at end of life with the best available technology</t>
  </si>
  <si>
    <t>Facilitate collaboration between procurement teams and stakeholders on renewable energy strategies</t>
  </si>
  <si>
    <t>Engage with supply chain to help reduce scope 3 emissions</t>
  </si>
  <si>
    <r>
      <t xml:space="preserve">What types of updates have been made to financing practices?  </t>
    </r>
    <r>
      <rPr>
        <i/>
        <sz val="14"/>
        <color rgb="FF92D050"/>
        <rFont val="Arial"/>
        <family val="2"/>
      </rPr>
      <t>(Select all that apply)</t>
    </r>
  </si>
  <si>
    <r>
      <t xml:space="preserve">What types of updates have been made to procurement practices?  </t>
    </r>
    <r>
      <rPr>
        <i/>
        <sz val="14"/>
        <color rgb="FF92D050"/>
        <rFont val="Arial"/>
        <family val="2"/>
      </rPr>
      <t>(Select all that apply)</t>
    </r>
  </si>
  <si>
    <r>
      <t xml:space="preserve">What types of updates have been made to training program standards and procedures?  </t>
    </r>
    <r>
      <rPr>
        <i/>
        <sz val="14"/>
        <color rgb="FF92D050"/>
        <rFont val="Arial"/>
        <family val="2"/>
      </rPr>
      <t>(Select all that apply)</t>
    </r>
  </si>
  <si>
    <r>
      <t xml:space="preserve">What types of updates have been made to project evaluation standards and procedures? </t>
    </r>
    <r>
      <rPr>
        <i/>
        <sz val="14"/>
        <color rgb="FF92D050"/>
        <rFont val="Arial"/>
        <family val="2"/>
      </rPr>
      <t>(Select all that apply)</t>
    </r>
    <r>
      <rPr>
        <sz val="14"/>
        <color theme="1"/>
        <rFont val="Arial"/>
        <family val="2"/>
      </rPr>
      <t xml:space="preserve"> </t>
    </r>
  </si>
  <si>
    <r>
      <t xml:space="preserve">What types of updates have been made to operations and maintenance standards and procedures? </t>
    </r>
    <r>
      <rPr>
        <i/>
        <sz val="14"/>
        <color rgb="FF92D050"/>
        <rFont val="Arial"/>
        <family val="2"/>
      </rPr>
      <t>(Select all that apply)</t>
    </r>
  </si>
  <si>
    <r>
      <t xml:space="preserve">What types of updates have been made to governance standards and procedures? </t>
    </r>
    <r>
      <rPr>
        <i/>
        <sz val="14"/>
        <color rgb="FF92D050"/>
        <rFont val="Arial"/>
        <family val="2"/>
      </rPr>
      <t>(Select all that apply)</t>
    </r>
  </si>
  <si>
    <r>
      <t xml:space="preserve">What types of updates have been made to communications standards and procedures?   </t>
    </r>
    <r>
      <rPr>
        <i/>
        <sz val="14"/>
        <color rgb="FF92D050"/>
        <rFont val="Arial"/>
        <family val="2"/>
      </rPr>
      <t>(Select all that apply)</t>
    </r>
  </si>
  <si>
    <t>Increase the payback period for decarbonization projects</t>
  </si>
  <si>
    <t>Deploy effective financing mechanisms (e.g., green bonds, carbon pricing)</t>
  </si>
  <si>
    <t>Lower barrier to apply for corporate financing</t>
  </si>
  <si>
    <t>Apply internal carbon cost metrics to assess high-capital project feasibility</t>
  </si>
  <si>
    <t>Develop external communication for stakeholders to demonstrate decarbonization efforts</t>
  </si>
  <si>
    <t>Develop internal communication to engage employees on decarbonization efforts</t>
  </si>
  <si>
    <t>Help publicize major decarbonization efforts through public forums</t>
  </si>
  <si>
    <t>Leverage sustainability achievements for industry recognition</t>
  </si>
  <si>
    <t>Define financing and project deployment schedule</t>
  </si>
  <si>
    <r>
      <t xml:space="preserve">When thinking about project deployment schedules, which of the following are considered?  </t>
    </r>
    <r>
      <rPr>
        <i/>
        <sz val="14"/>
        <color rgb="FF92D050"/>
        <rFont val="Arial"/>
        <family val="2"/>
      </rPr>
      <t>(Select all that apply)</t>
    </r>
  </si>
  <si>
    <t>Annual budget cycles</t>
  </si>
  <si>
    <t>Financing availability / cost</t>
  </si>
  <si>
    <t>Equipment end of life</t>
  </si>
  <si>
    <t>Deferred maintenance schedule</t>
  </si>
  <si>
    <t>Magnitude of emissions reductions</t>
  </si>
  <si>
    <t>Technology availability / cost</t>
  </si>
  <si>
    <t>Projected grid emissions</t>
  </si>
  <si>
    <t>Internal Funding (OpEx / CapEx, Revolving funds)</t>
  </si>
  <si>
    <t>Debt or Loans</t>
  </si>
  <si>
    <t>Leases</t>
  </si>
  <si>
    <t>Energy Savings Performance Contracting</t>
  </si>
  <si>
    <t>Efficiency-as-a-Service</t>
  </si>
  <si>
    <t>Green Bonds</t>
  </si>
  <si>
    <t>Power Purchase Agreement</t>
  </si>
  <si>
    <t>Other (Please specify)  </t>
  </si>
  <si>
    <r>
      <t xml:space="preserve">Which financing mechanisms are being considered to fund ERMs?  </t>
    </r>
    <r>
      <rPr>
        <i/>
        <sz val="14"/>
        <color rgb="FF92D050"/>
        <rFont val="Arial"/>
        <family val="2"/>
      </rPr>
      <t>(Select all that apply)</t>
    </r>
  </si>
  <si>
    <t>Setting an Internal Cost of Carbon</t>
  </si>
  <si>
    <t>Marginal Cost of Abatement</t>
  </si>
  <si>
    <t>Consider other sustainability metrics such as water and waste reduction</t>
  </si>
  <si>
    <t>Considering non-energy benefits</t>
  </si>
  <si>
    <t>Stakeholders were engaged throughout the development of the ERP providing timely feedback</t>
  </si>
  <si>
    <t>Stakeholders were engaged in the scoping of the ERP</t>
  </si>
  <si>
    <t>Stakeholders have approved the final ERP</t>
  </si>
  <si>
    <t>Stakeholders were not engaged in the development of the emission reduction plan</t>
  </si>
  <si>
    <t>Comprehensive Communication: Full internal and external stakeholder communication program implemented with regular updates</t>
  </si>
  <si>
    <t>Partial Communication: Internal rollout complete, external communication in progress through public sustainability report, corporate website, CDP reports and press releases</t>
  </si>
  <si>
    <t>Limited Communication: Plan has been shared with select internal teams only with department specific briefings and internal knowledge portal</t>
  </si>
  <si>
    <t>Task</t>
  </si>
  <si>
    <t>Top scores</t>
  </si>
  <si>
    <r>
      <t xml:space="preserve">Do you have additional renewable energy procurement (RE100) goal? </t>
    </r>
    <r>
      <rPr>
        <i/>
        <sz val="14"/>
        <color theme="5"/>
        <rFont val="Arial"/>
        <family val="2"/>
      </rPr>
      <t>(Select any one)</t>
    </r>
  </si>
  <si>
    <r>
      <t>Do you have an ambitious (&gt;= 50% absolute Scope 1 and 2 emission reduction over 10 yrs) GHG emissions reduction target?</t>
    </r>
    <r>
      <rPr>
        <sz val="14"/>
        <color theme="5" tint="0.39997558519241921"/>
        <rFont val="Arial"/>
        <family val="2"/>
      </rPr>
      <t xml:space="preserve"> </t>
    </r>
    <r>
      <rPr>
        <i/>
        <sz val="14"/>
        <color theme="5"/>
        <rFont val="Arial"/>
        <family val="2"/>
      </rPr>
      <t>(Select any one)</t>
    </r>
  </si>
  <si>
    <r>
      <t>Do you have a near term (2030) or a long term (2040/2050) Net zero goal?</t>
    </r>
    <r>
      <rPr>
        <sz val="14"/>
        <color theme="5" tint="0.39997558519241921"/>
        <rFont val="Arial"/>
        <family val="2"/>
      </rPr>
      <t xml:space="preserve"> </t>
    </r>
    <r>
      <rPr>
        <i/>
        <sz val="14"/>
        <color theme="5"/>
        <rFont val="Arial"/>
        <family val="2"/>
      </rPr>
      <t>(Select any one)</t>
    </r>
  </si>
  <si>
    <r>
      <t>Please list any SGEs you have not found alternative low-carbon technologies for?</t>
    </r>
    <r>
      <rPr>
        <i/>
        <sz val="14"/>
        <color theme="1" tint="0.499984740745262"/>
        <rFont val="Arial"/>
        <family val="2"/>
      </rPr>
      <t xml:space="preserve"> (Type in your answer)</t>
    </r>
  </si>
  <si>
    <t>SCORE (Binary)</t>
  </si>
  <si>
    <t>We benchmark similar SGEs internally using best practices</t>
  </si>
  <si>
    <t>We benchmark at facility level including EPA energy star or other sources</t>
  </si>
  <si>
    <r>
      <rPr>
        <b/>
        <sz val="12"/>
        <color theme="1"/>
        <rFont val="Arial"/>
        <family val="2"/>
      </rPr>
      <t>Decision Maker </t>
    </r>
    <r>
      <rPr>
        <sz val="12"/>
        <color theme="1"/>
        <rFont val="Arial"/>
        <family val="2"/>
      </rPr>
      <t>- Has ultimate accountability, makes final decisions, provides resources and manpower</t>
    </r>
  </si>
  <si>
    <r>
      <rPr>
        <b/>
        <sz val="12"/>
        <color theme="1"/>
        <rFont val="Arial"/>
        <family val="2"/>
      </rPr>
      <t xml:space="preserve">Sponsor </t>
    </r>
    <r>
      <rPr>
        <sz val="12"/>
        <color theme="1"/>
        <rFont val="Arial"/>
        <family val="2"/>
      </rPr>
      <t xml:space="preserve">- Provides financing </t>
    </r>
  </si>
  <si>
    <r>
      <rPr>
        <b/>
        <sz val="12"/>
        <color theme="1"/>
        <rFont val="Arial"/>
        <family val="2"/>
      </rPr>
      <t>Active partner</t>
    </r>
    <r>
      <rPr>
        <sz val="12"/>
        <color theme="1"/>
        <rFont val="Arial"/>
        <family val="2"/>
      </rPr>
      <t xml:space="preserve"> - Dedicates significant time and resources, participates in regular planning meetings, provides consistent input and feedback</t>
    </r>
  </si>
  <si>
    <r>
      <rPr>
        <b/>
        <sz val="12"/>
        <color theme="1"/>
        <rFont val="Arial"/>
        <family val="2"/>
      </rPr>
      <t>Regular Contributor-</t>
    </r>
    <r>
      <rPr>
        <sz val="12"/>
        <color theme="1"/>
        <rFont val="Arial"/>
        <family val="2"/>
      </rPr>
      <t xml:space="preserve"> Attends scheduled meetings, provides expertise when requested, reviews and gives feedback on deliverables</t>
    </r>
  </si>
  <si>
    <r>
      <rPr>
        <b/>
        <sz val="12"/>
        <color theme="1"/>
        <rFont val="Arial"/>
        <family val="2"/>
      </rPr>
      <t>Subject Matter Expert (SME) / Consultant-</t>
    </r>
    <r>
      <rPr>
        <sz val="12"/>
        <color theme="1"/>
        <rFont val="Arial"/>
        <family val="2"/>
      </rPr>
      <t xml:space="preserve"> Provides specialized input when needed, available for specific questions, participates in relevant technical discussions</t>
    </r>
  </si>
  <si>
    <r>
      <rPr>
        <b/>
        <sz val="12"/>
        <color theme="1"/>
        <rFont val="Arial"/>
        <family val="2"/>
      </rPr>
      <t xml:space="preserve">Informed Participant- </t>
    </r>
    <r>
      <rPr>
        <sz val="12"/>
        <color theme="1"/>
        <rFont val="Arial"/>
        <family val="2"/>
      </rPr>
      <t>Keeps updated on progress, provides occasional input, attends key milestone meetings</t>
    </r>
  </si>
  <si>
    <r>
      <rPr>
        <b/>
        <sz val="12"/>
        <color theme="1"/>
        <rFont val="Arial"/>
        <family val="2"/>
      </rPr>
      <t>Observer / Interested Party-</t>
    </r>
    <r>
      <rPr>
        <sz val="12"/>
        <color theme="1"/>
        <rFont val="Arial"/>
        <family val="2"/>
      </rPr>
      <t xml:space="preserve"> Receives updates and communications, no direct involvement, minimal time commitment</t>
    </r>
  </si>
  <si>
    <r>
      <t xml:space="preserve">What additional projects is your company considering in the development of your Emissions Reduction Plan? </t>
    </r>
    <r>
      <rPr>
        <i/>
        <sz val="14"/>
        <color rgb="FF92D050"/>
        <rFont val="Arial"/>
        <family val="2"/>
      </rPr>
      <t>(Select all that apply)</t>
    </r>
  </si>
  <si>
    <r>
      <t xml:space="preserve">What strategies has your company implemented or planned for reducing mobile emissions through vehicle asset purchases </t>
    </r>
    <r>
      <rPr>
        <i/>
        <sz val="14"/>
        <color rgb="FF92D050"/>
        <rFont val="Arial"/>
        <family val="2"/>
      </rPr>
      <t>(select all that apply)</t>
    </r>
  </si>
  <si>
    <t xml:space="preserve"> </t>
  </si>
  <si>
    <t xml:space="preserve">Yes, we have a validated ERM inventory covering both facility and portfolio levels and completed scenario analysis to validate their contribution toward decarbonization targets </t>
  </si>
  <si>
    <t>Feedback</t>
  </si>
  <si>
    <t>Carbon accounting specialists</t>
  </si>
  <si>
    <t>Certification bodies</t>
  </si>
  <si>
    <t>Equipment vendors</t>
  </si>
  <si>
    <t>Energy providers and utilities</t>
  </si>
  <si>
    <t xml:space="preserve">Which emissions are included in your GHG inventory boundary? </t>
  </si>
  <si>
    <r>
      <t xml:space="preserve">Do you benchmark facility/system performance internally or with other industry? </t>
    </r>
    <r>
      <rPr>
        <i/>
        <sz val="14"/>
        <color theme="5"/>
        <rFont val="Arial"/>
        <family val="2"/>
      </rPr>
      <t>(Select any one)</t>
    </r>
  </si>
  <si>
    <t xml:space="preserve">No we do not perform any benchmarking </t>
  </si>
  <si>
    <t xml:space="preserve">No prioritization approach in place </t>
  </si>
  <si>
    <t>We focus on large, unique emission sources that are technically challenging to decarbonize and specific to certain facilities</t>
  </si>
  <si>
    <t>We prioritize common emission sources that appear across multiple facilities and present significant decarbonization challenges</t>
  </si>
  <si>
    <t>We select projects based on their financial return on investment, funding and incentives and implementation costs</t>
  </si>
  <si>
    <t>We target "quick wins" - emission sources with readily available and cost-effective solutions</t>
  </si>
  <si>
    <t xml:space="preserve">Yes, we are planning in next 5 yrs </t>
  </si>
  <si>
    <r>
      <rPr>
        <sz val="14"/>
        <rFont val="Arial"/>
        <family val="2"/>
      </rPr>
      <t>Has your company identified alternative technologies or system upgrades to reduce carbon emissions from all SGEs within all the facilities?</t>
    </r>
    <r>
      <rPr>
        <i/>
        <sz val="14"/>
        <color theme="5"/>
        <rFont val="Arial"/>
        <family val="2"/>
      </rPr>
      <t xml:space="preserve">  (Select any one)</t>
    </r>
  </si>
  <si>
    <t>Yes, we have identified specific technologies and upgrades for all our SGE and non SGEs at our facilities</t>
  </si>
  <si>
    <t>We have partially identified specific technologies and upgrades for some SGE at our facilities</t>
  </si>
  <si>
    <t>We have identified only low-cost / no-cost efficiency upgrades and system optimization that does not specifically target our SGEs</t>
  </si>
  <si>
    <t>We are currently in the process of evaluating potential solutions</t>
  </si>
  <si>
    <r>
      <t xml:space="preserve">How does your company plan to evaluate low-carbon technology alternatives for your major emission sources?  </t>
    </r>
    <r>
      <rPr>
        <i/>
        <sz val="14"/>
        <color rgb="FF92D050"/>
        <rFont val="Arial"/>
        <family val="2"/>
      </rPr>
      <t>(Select all that apply)</t>
    </r>
  </si>
  <si>
    <t>Impact of lower energy use resulting from efficiency projects</t>
  </si>
  <si>
    <t>Location-specific greening of the grid impacts on emission reductions from electrification projects</t>
  </si>
  <si>
    <r>
      <t xml:space="preserve">Which business parameters are accounted for in your emission reduction scenario(s)? </t>
    </r>
    <r>
      <rPr>
        <i/>
        <sz val="14"/>
        <color rgb="FF92D050"/>
        <rFont val="Arial"/>
        <family val="2"/>
      </rPr>
      <t>(Select all that apply)</t>
    </r>
  </si>
  <si>
    <r>
      <t xml:space="preserve">Which of the following data have you collected on your ERMs identified in facility- and portfolio-level assessments?  </t>
    </r>
    <r>
      <rPr>
        <i/>
        <sz val="14"/>
        <color rgb="FF92D050"/>
        <rFont val="Arial"/>
        <family val="2"/>
      </rPr>
      <t>(Select all that apply)</t>
    </r>
  </si>
  <si>
    <t>Anticipated deployment year</t>
  </si>
  <si>
    <t>Emissions reduction potential</t>
  </si>
  <si>
    <t>Infrastructure requirements</t>
  </si>
  <si>
    <t>Implementation efforts / downtime, production disruptions, etc.</t>
  </si>
  <si>
    <t>Vendor options &amp; Cost estimates</t>
  </si>
  <si>
    <t>Not under consideration</t>
  </si>
  <si>
    <t>Score (Weighted)</t>
  </si>
  <si>
    <r>
      <t>Do you have other strategic goals? (Eg: Energy-intensity target or Scope 3 reductions)</t>
    </r>
    <r>
      <rPr>
        <sz val="14"/>
        <color theme="5" tint="0.39997558519241921"/>
        <rFont val="Arial"/>
        <family val="2"/>
      </rPr>
      <t xml:space="preserve"> </t>
    </r>
    <r>
      <rPr>
        <i/>
        <sz val="14"/>
        <color theme="0" tint="-0.499984740745262"/>
        <rFont val="Arial"/>
        <family val="2"/>
      </rPr>
      <t xml:space="preserve">(Type in your answer) </t>
    </r>
  </si>
  <si>
    <t>(Type in answer in %)</t>
  </si>
  <si>
    <r>
      <t xml:space="preserve">Please specify what percentage of your company's total energy needs do you plan to meet through renewable energy procurement </t>
    </r>
    <r>
      <rPr>
        <i/>
        <sz val="14"/>
        <color theme="0" tint="-0.499984740745262"/>
        <rFont val="Arial"/>
        <family val="2"/>
      </rPr>
      <t>(Type in answer)</t>
    </r>
  </si>
  <si>
    <t>No formal communication: Plan is still in development phase</t>
  </si>
  <si>
    <t xml:space="preserve">Yes – detailed risk register developed </t>
  </si>
  <si>
    <t>Corporation Name:</t>
  </si>
  <si>
    <t>Reporting Year</t>
  </si>
  <si>
    <t>Primary Contact:</t>
  </si>
  <si>
    <t>E-mail:</t>
  </si>
  <si>
    <t xml:space="preserve">     Andrew Whitlock</t>
  </si>
  <si>
    <t xml:space="preserve">     John O'Neill (US DOE)</t>
  </si>
  <si>
    <t xml:space="preserve">Minimal strategic relevance (&lt;5%) to our operations </t>
  </si>
  <si>
    <t xml:space="preserve">Enterprise-wide platform with automated verification and data is third-party verified </t>
  </si>
  <si>
    <t xml:space="preserve">Integrated data management system with quality controls </t>
  </si>
  <si>
    <t xml:space="preserve">Mix of spreadsheets and data dashboard </t>
  </si>
  <si>
    <t xml:space="preserve">Comprehensive framework incorporating key project evaluation criteria such as, risk assessment, technical feasibility, emission impact, stakeholder input, and strategic alignment </t>
  </si>
  <si>
    <t xml:space="preserve">Based on simple payback periods </t>
  </si>
  <si>
    <t>SCORE (Weighted)</t>
  </si>
  <si>
    <t>Final</t>
  </si>
  <si>
    <t>Weighted</t>
  </si>
  <si>
    <t>Conversion factor</t>
  </si>
  <si>
    <t xml:space="preserve">Facility Leadership </t>
  </si>
  <si>
    <t xml:space="preserve">Environmental and engineering consulting firms </t>
  </si>
  <si>
    <t xml:space="preserve">Availability of funding and incentives </t>
  </si>
  <si>
    <t>Yes, but only at facilities that have taken the initiative to assess on-site renewables</t>
  </si>
  <si>
    <t>Emissions Reduction Plan Gap Analysis 
Tool</t>
  </si>
  <si>
    <t>Score 0</t>
  </si>
  <si>
    <t>Score not max</t>
  </si>
  <si>
    <t>M1Task 1: Identify and Engage Stakeholders  </t>
  </si>
  <si>
    <t xml:space="preserve">M1Task 2: Establish a GHG Inventory Management Plan </t>
  </si>
  <si>
    <t xml:space="preserve">M1Task 3: Set GHG Reduction Target </t>
  </si>
  <si>
    <t xml:space="preserve">M1Task 4: Define Evaluation Criteria </t>
  </si>
  <si>
    <t xml:space="preserve">M2Task 1: Select Characteristics for the Portfolio </t>
  </si>
  <si>
    <t>M2Task 2: Identify and quantify GHG emissions for Significant Greenhouse Gas Emitters (SGEs)</t>
  </si>
  <si>
    <t xml:space="preserve">M2Task 3: Benchmark SGEs </t>
  </si>
  <si>
    <t>M2Task 4: Select systems for further analysis</t>
  </si>
  <si>
    <t>Manufacturing facilities continuously present energy efficiency opportunities. Regular energy assessments and facility walkthroughs conducted every 2-3 years are essential not only for identifying new opportunities but also for preventing the recurrence of previously addressed inefficiencies, such as compressed air leaks, steam trap failures, or equipment operation outside optimal parameters.</t>
  </si>
  <si>
    <t>Manufacturing facilities can achieve significant benefits through strategic electrification, particularly in space heating, water heating, and thermal fluid heating systems due to their moderate temperature requirements and established electric technologies. Process heating applications below 400°C with predictable loads present strong electrification opportunities, especially in regions with low-carbon electricity grids or potential for renewable energy procurement.</t>
  </si>
  <si>
    <t>When evaluating electrification projects, incorporate planned/projected renewable energy purchases and grid decarbonization to enhance the business case. The analysis should consider increasing carbon reduction benefits as grid emissions decrease and opportunities to stage implementation with renewable energy deployment timelines.</t>
  </si>
  <si>
    <t>Manufacturing facilities can achieve substantial emissions reductions by transitioning to low-carbon fuels across industrial processes. Equipment like boilers, furnaces, and CHP systems can effectively operate on fuel blends containing 5-20% all the way up to 100% renewable content.  A phased implementation starting with lower blend ratios allows facilities to verify equipment compatibility, monitor performance while maximizing environmental and cost benefits.</t>
  </si>
  <si>
    <t xml:space="preserve">To secure biofuel contact local farmers, waste management companies or neighboring facility with hydrogen production to ensure fuel availability. </t>
  </si>
  <si>
    <t xml:space="preserve">Onsite renewable energy can be implemented in various settings. Rooftop solar is well-suited for warehouses,  manufacturing facilities, office buildings, and parking structures. Ground-mounted solar installations work best in unused land. CHP systems are commonly implemented where energy reliability is an  issue. Key factors to consider for on-site  renewable energy solutions are local regulations, project cost and space availability. </t>
  </si>
  <si>
    <t xml:space="preserve">For hard-to-abate sectors, CCUS provides a critical pathway to reduce emissions where direct electrification or other alternatives aren't feasible. CCUS also creates economic opportunities through CO2 utilization in products like building materials, chemicals, and fuels. </t>
  </si>
  <si>
    <t xml:space="preserve">Fugitive emissions in manufacturing are often overlooked because they're difficult to detect, measure, and control. Chemical, semiconductor industry, refrigeration and HVAC manufacturer experiences emissions through leaks. All manufacturing facilities have fugitive emissions from their HVAC systems that leak refrigeration during installation, operation, or retirement of equipment. </t>
  </si>
  <si>
    <t>While low-cost and no-cost efficiency upgrades provide immediate benefits, investing in transformative technologies and alternative solutions can deliver substantially greater GHG emission reductions. These technological accelerates progress towards their goal and modernizing  operations, increasing efficiency and process optimization.</t>
  </si>
  <si>
    <t xml:space="preserve">Has your company participated in any training programs or assessments  offered by the DOE’s Better Plants Program to help identify alternate technology or system updates? </t>
  </si>
  <si>
    <t>M3Task 2: Portfolio level GHG emissions reduction assessment planning</t>
  </si>
  <si>
    <t>Standard operating procedures and regular maintenance programs, including leak detection and steam trap inspections, are crucial for operational efficiency. For example: setting equipment standards for HVAC and lighting systems, with defined temperature setpoints and startup/shutdown schedules, optimizes energy use. Predictive maintenance on motors and drives helps prevent breakdowns while ensuring peak system performance and reduced energy waste.</t>
  </si>
  <si>
    <t>Large-scale renewable energy procurement through centralized contracts offers significant advantages for reducing Scope 2 emissions. Large contracts can catalyze new renewable energy projects, standardize contract terms, allowing companies to influence project location, optimize procurement timing to align with their operational needs.</t>
  </si>
  <si>
    <t xml:space="preserve">When mobile emissions represent a significant portion of a company's carbon footprint, the first step should be conducting a comprehensive fleet audit and identify ways that can help reduce mobile emissions. </t>
  </si>
  <si>
    <t xml:space="preserve">In addition to assessing emission reduction potential from key decarbonization pillars companies should consider energy projects related to energy demand flexibility, grid resiliency and interactivity, material efficiency and product circularity, beyond-the-fence line (co-owned or third-party solutions) that can help reduce GHG emissions. </t>
  </si>
  <si>
    <t>M3Task 1: Facility level GHG emissions reduction assessment planning </t>
  </si>
  <si>
    <t>M4Task 1: Establish Scenario Parameters</t>
  </si>
  <si>
    <t>M4Task 2: Estimate Future Business Portfolio Changes</t>
  </si>
  <si>
    <t>M5Task 1: Assess scenarios and select pathway</t>
  </si>
  <si>
    <t>M5Task 2: Update Organizational Standards and Procedures</t>
  </si>
  <si>
    <t>M5Task 3: Define financing and project deployment schedule</t>
  </si>
  <si>
    <t>M5Task 4:  Secure Final Buy-in from Stakeholder and Release Plan</t>
  </si>
  <si>
    <t xml:space="preserve">M6Task 1: Develop work plan </t>
  </si>
  <si>
    <t>M6Task 2: Measure and verify GHG emissions reductions</t>
  </si>
  <si>
    <t>M6Task 3: Document and share key learnings from project implementation</t>
  </si>
  <si>
    <t>M6Task 4: Continuous evaluation of circumstances and revision of ERP</t>
  </si>
  <si>
    <t>Database with real-time monitoring of key sources</t>
  </si>
  <si>
    <r>
      <rPr>
        <b/>
        <sz val="12"/>
        <color theme="1"/>
        <rFont val="Arial"/>
        <family val="2"/>
      </rPr>
      <t xml:space="preserve">Core Function 
</t>
    </r>
    <r>
      <rPr>
        <sz val="12"/>
        <color theme="1"/>
        <rFont val="Arial"/>
        <family val="2"/>
      </rPr>
      <t>The Emission Reduction Plan gap assessment tool guides organizations through a structured evaluation of their decarbonization planning efforts. Through milestone-based questions with predefined response options, the tool measures the maturity and completeness of an organization's approach to emissions reduction. Users receive quantitative scores reflecting their planning robustness, along with targeted feedback to improve areas where gaps are identified. This systematic approach helps organizations assess their current status and obtain practical guidance for strengthening their decarbonization strategy.</t>
    </r>
  </si>
  <si>
    <r>
      <rPr>
        <b/>
        <sz val="12"/>
        <color theme="1"/>
        <rFont val="Arial"/>
        <family val="2"/>
      </rPr>
      <t>Strategic Value:</t>
    </r>
    <r>
      <rPr>
        <sz val="12"/>
        <color theme="1"/>
        <rFont val="Arial"/>
        <family val="2"/>
      </rPr>
      <t xml:space="preserve">
- Objectively evaluate their current decarbonization planning status
- Identify critical gaps in their emission reduction strategy
- Prioritize areas requiring additional development
- Track progress as they enhance their plans
- Align their planning efforts with established best practices
- Build more robust and achievable decarbonization roadmaps</t>
    </r>
  </si>
  <si>
    <r>
      <rPr>
        <b/>
        <sz val="12"/>
        <color theme="1"/>
        <rFont val="Arial"/>
        <family val="2"/>
      </rPr>
      <t>Improvement Guidance</t>
    </r>
    <r>
      <rPr>
        <sz val="12"/>
        <color theme="1"/>
        <rFont val="Arial"/>
        <family val="2"/>
      </rPr>
      <t xml:space="preserve">
- Specific recommendations for improving plan components
- Best practice examples and guidelines
- Resources and references for further development</t>
    </r>
  </si>
  <si>
    <r>
      <rPr>
        <b/>
        <sz val="10"/>
        <rFont val="Arial"/>
        <family val="2"/>
      </rPr>
      <t xml:space="preserve">Note: </t>
    </r>
    <r>
      <rPr>
        <sz val="10"/>
        <rFont val="Arial"/>
        <family val="2"/>
      </rPr>
      <t>ERP Gap Assessment Tool is currently available in the English language only.</t>
    </r>
  </si>
  <si>
    <t>The Emission Reduction Plan Gap Assessment Tool serves as a comprehensive self-evaluation framework designed to help organizations assess and strengthen their decarbonization strategies aligned with ERP. This interactive tool systematically evaluates the completeness and robustness of an organization's emission reduction roadmap through a milestone-based assessment approach.</t>
  </si>
  <si>
    <t xml:space="preserve">     Disclaimer</t>
  </si>
  <si>
    <t>Company Information</t>
  </si>
  <si>
    <t>SCORE (PER QUESTION)</t>
  </si>
  <si>
    <t>SCORE (Per Question)</t>
  </si>
  <si>
    <t>FINAL SCORE (Weighted)</t>
  </si>
  <si>
    <r>
      <t>What characteristics of your facilities and processes do you capture across your operations to identify high-impact initiatives?</t>
    </r>
    <r>
      <rPr>
        <sz val="14"/>
        <color rgb="FF92D050"/>
        <rFont val="Arial"/>
        <family val="2"/>
      </rPr>
      <t xml:space="preserve"> </t>
    </r>
    <r>
      <rPr>
        <i/>
        <sz val="14"/>
        <color rgb="FF92D050"/>
        <rFont val="Arial"/>
        <family val="2"/>
      </rPr>
      <t>(Select all that apply)</t>
    </r>
  </si>
  <si>
    <r>
      <t xml:space="preserve">Which parameters do you anticipate will affect your selected decarbonization scenario to ensure successful energy roadmap planning and implementation?  </t>
    </r>
    <r>
      <rPr>
        <i/>
        <sz val="14"/>
        <color rgb="FF92D050"/>
        <rFont val="Arial"/>
        <family val="2"/>
      </rPr>
      <t>(Select all that apply)</t>
    </r>
  </si>
  <si>
    <t xml:space="preserve">We have not developed scenarios </t>
  </si>
  <si>
    <t xml:space="preserve">High electrification </t>
  </si>
  <si>
    <t xml:space="preserve">High renewable energy </t>
  </si>
  <si>
    <t>High CCUS</t>
  </si>
  <si>
    <t>Medium EE</t>
  </si>
  <si>
    <t>Medium electrification</t>
  </si>
  <si>
    <t>Medium renewable energy</t>
  </si>
  <si>
    <t>Medium CCUS</t>
  </si>
  <si>
    <t>Low EE</t>
  </si>
  <si>
    <t>Low electrification</t>
  </si>
  <si>
    <t>Low renewable energy</t>
  </si>
  <si>
    <t>Low CCUS</t>
  </si>
  <si>
    <t xml:space="preserve">High EE </t>
  </si>
  <si>
    <t>Cost</t>
  </si>
  <si>
    <t>Financing</t>
  </si>
  <si>
    <t>Technology readiness</t>
  </si>
  <si>
    <t>Scenario 1</t>
  </si>
  <si>
    <t>Scenario 2</t>
  </si>
  <si>
    <t>Cost benefit analysis</t>
  </si>
  <si>
    <t>Variations in cost of traditional fuel</t>
  </si>
  <si>
    <t>Variations in cost of low carbon fuel</t>
  </si>
  <si>
    <t xml:space="preserve">Greening of the grid </t>
  </si>
  <si>
    <t xml:space="preserve">Technology readiness level, maturity and scalability </t>
  </si>
  <si>
    <t>Alternate energy sources availability (e.g. hydrogen)</t>
  </si>
  <si>
    <t>Cost of capital (Interest / financing rates of green bonds or climate bonds, sustainability-linked loans, equipment lease financing, energy performance contracts)</t>
  </si>
  <si>
    <t>Product Mix</t>
  </si>
  <si>
    <t>Task 5</t>
  </si>
  <si>
    <t xml:space="preserve">We have evaluated impacts on emissions, costs, and phasing of technologies across multiple scenarios </t>
  </si>
  <si>
    <t xml:space="preserve">We do not know the impacts, costs, or phasing of identified measures and have not developed scenarios </t>
  </si>
  <si>
    <r>
      <t xml:space="preserve">Which statement best describes your evaluation of scenarios? </t>
    </r>
    <r>
      <rPr>
        <i/>
        <sz val="14"/>
        <color theme="5"/>
        <rFont val="Arial"/>
        <family val="2"/>
      </rPr>
      <t>(Select any one)</t>
    </r>
  </si>
  <si>
    <r>
      <t xml:space="preserve">Which of the following interactions between different emission reduction measures in your deployment schedule are considered in your scenarios? </t>
    </r>
    <r>
      <rPr>
        <i/>
        <sz val="14"/>
        <color rgb="FF92D050"/>
        <rFont val="Arial"/>
        <family val="2"/>
      </rPr>
      <t>(Select all that apply)</t>
    </r>
  </si>
  <si>
    <t xml:space="preserve">Downstream effects from projects that result in process changes </t>
  </si>
  <si>
    <t>Score (final)</t>
  </si>
  <si>
    <t>% GHG Reduction</t>
  </si>
  <si>
    <t xml:space="preserve">Standards have not been updated </t>
  </si>
  <si>
    <t xml:space="preserve">Federal, State, and/or Local funding opportunities, tax incentives, and rebates </t>
  </si>
  <si>
    <t>TOTAL</t>
  </si>
  <si>
    <t xml:space="preserve">Resources </t>
  </si>
  <si>
    <t>Companies should engage internal stakeholders early in emission reduction planning to ensure practical feasibility and organizational alignment. Executive leadership provides strategic direction and resource commitment, while facility teams and operations offer crucial insights into implementation challenges. Early involvement of finance, procurement, and project management ensures realistic budgeting and timelines. This collaborative approach reduces execution risks, builds organizational buy-in, and helps identify cross-functional opportunities that might otherwise be missed.</t>
  </si>
  <si>
    <t>Companies should engage external stakeholders because they provide critical expertise and resources beyond internal capabilities. Environmental consultants and carbon specialists ensure compliance, while vendors and utilities offer insights into new technologies. Financial institutions help secure funding, and industry associations provide benchmarking data. This external collaboration helps companies identify opportunities, access specialized knowledge, and validate their approach against best practices, ultimately creating more robust emission reduction strategies.</t>
  </si>
  <si>
    <t xml:space="preserve">
GHG Protocol Corporate standard</t>
  </si>
  <si>
    <t>GHG Protocol Scope 2 Guidance</t>
  </si>
  <si>
    <t>Maintaining better data quality and integrity reduces the risk of reporting errors and potential regulatory penalties. A robust system enables accurate trend analysis. Reliable emissions data is crucial for compliance and avoiding reputational damage.</t>
  </si>
  <si>
    <t>SBTi Corporate Net Zero Standard</t>
  </si>
  <si>
    <t>Climate Group RE100</t>
  </si>
  <si>
    <t>Ambitious targets drive innovation and operational efficiency, often leading to cost savings through reduced energy consumption and optimized processes. These goals can help strengthen market positioning, as consumers and investors increasingly favor environmentally responsible businesses. Ambitious goals signal leadership in climate action, which can create competitive advantages in securing contracts with large customers who have their own emission reduction requirements.</t>
  </si>
  <si>
    <t>Companies should adopt a systematic approach to evaluate and prioritize GHG emissions reduction projects because it ensures efficient resource allocation to high-impact projects while minimizing implementation risks. It provides transparent decision-making that builds stakeholder confidence and organizational buy-in. By considering multiple criteria and dependencies, companies avoid costly mistakes and create a balanced roadmap of quick wins and strategic initiatives.</t>
  </si>
  <si>
    <t>No stakeholders identified at this time</t>
  </si>
  <si>
    <t>Supply chain partners/Customers</t>
  </si>
  <si>
    <t>Companies should consider key operational characteristics because they determine the feasibility and impact of emission reduction initiatives. Facility type, ownership, and location influence available options and cost-effectiveness, while grid carbon intensity affects electrification benefits. Understanding equipment lifecycles and process emissions helps target the biggest opportunities, while knowledge of available incentives optimizes project economics. This systematic assessment enables companies to identify and prioritize the most impactful initiatives aligned with their infrastructure realities.</t>
  </si>
  <si>
    <t>Benchmarking process/systems can begin with normalizing data against key metrics like production output or revenue to enable meaningful comparisons. Organizations then benchmark their performance against industry standards to identify where they stand and where improvements are possible. Comparing similar processes across different facilities reveals internal best practices and opportunities for optimization. Evaluating the relative efficiency of different technologies helps identify the most effective solutions for emission reduction, informing strategic investment decisions.</t>
  </si>
  <si>
    <t xml:space="preserve">Companies can effectively prioritize SGEs through two main approaches. The first focuses on large, unique emission sources that are technically challenging and facility-specific, allowing for concentrated expertise development and potentially transformative solutions. The second targets common emission sources across multiple facilities, enabling scalable solutions and standardized approaches. A hybrid strategy often works best. </t>
  </si>
  <si>
    <r>
      <t xml:space="preserve">To reach your decarbonization goals, which scenarios do you believe will be most effective for your organization </t>
    </r>
    <r>
      <rPr>
        <i/>
        <sz val="14"/>
        <color theme="1"/>
        <rFont val="Arial"/>
        <family val="2"/>
      </rPr>
      <t>(High- 45-60 %, Med- 20-40 %, Low- 5-15 % of goal)</t>
    </r>
    <r>
      <rPr>
        <sz val="14"/>
        <color theme="1"/>
        <rFont val="Arial"/>
        <family val="2"/>
      </rPr>
      <t xml:space="preserve">? </t>
    </r>
    <r>
      <rPr>
        <sz val="14"/>
        <color rgb="FF92D050"/>
        <rFont val="Arial"/>
        <family val="2"/>
      </rPr>
      <t>(</t>
    </r>
    <r>
      <rPr>
        <i/>
        <sz val="14"/>
        <color rgb="FF92D050"/>
        <rFont val="Arial"/>
        <family val="2"/>
      </rPr>
      <t xml:space="preserve">Select all that apply for </t>
    </r>
    <r>
      <rPr>
        <b/>
        <i/>
        <sz val="14"/>
        <color rgb="FF92D050"/>
        <rFont val="Arial"/>
        <family val="2"/>
      </rPr>
      <t>each scenario</t>
    </r>
    <r>
      <rPr>
        <i/>
        <sz val="14"/>
        <color rgb="FF92D050"/>
        <rFont val="Arial"/>
        <family val="2"/>
      </rPr>
      <t>)</t>
    </r>
  </si>
  <si>
    <t>No formal strategy in place</t>
  </si>
  <si>
    <t>No other projects are in consideration</t>
  </si>
  <si>
    <t xml:space="preserve">Establishing comprehensive timelines with detailed project schedules for ERP implementation provides clear milestones that keep the project on track. Defined timelines help manage stakeholder expectations and enable proper resource allocation. Clear deadlines create accountability, allowing teams to prioritize tasks effectively and identify potential delays early. A well-structured timeline also facilitates coordination between departments and minimizes business disruption. </t>
  </si>
  <si>
    <t xml:space="preserve">Measuring and verifying emission reductions within ERP systems enables companies to accurately track their environmental impact and demonstrate regulatory compliance. This data-driven approach provides credible evidence for sustainability reporting, strengthening stakeholder trust and brand reputation. Additionally, accurate measurement supports data-informed decision making for future sustainability initiatives, helping businesses remain competitive as environmental standards continue to evolve. </t>
  </si>
  <si>
    <t>Capturing and sharing key learnings from ERP implementations through structured knowledge management systems prevents repetition of past mistakes and preserves valuable institutional knowledge.</t>
  </si>
  <si>
    <t>Companies should regularly review and update their ERP systems every 2-4 years to remain aligned with evolving energy markets and sustainability trends. These periodic assessments ensure systems incorporate emerging technologies and efficiency standards, preventing outdated processes from hindering operational performance. By proactively refreshing their ERP capabilities, companies can continuously optimize resource allocation, reduce carbon footprint, and adapt quickly to market disruptions.</t>
  </si>
  <si>
    <t>M4Task 3: Review Emission Reduction Measures</t>
  </si>
  <si>
    <t>By developing scenarios that account for critical cost variables, companies create emission reduction strategies that remain economically viable through market fluctuations, technological changes, and macroeconomic shifts. Rising fossil fuel costs may accelerate payback periods for efficiency investments and alternative energy projects, while price drops could temporarily disadvantage clean energy economics. The evolving market for low carbon fuels introduces significant cost uncertainties. Scenarios that model different cost trajectories for biofuels, hydrogen, and synthetic fuels help companies identify economic tipping points for adoption. Electricity pricing—both grid and renewable—directly impacts electrification strategies. Companies should model how different electricity cost scenarios affect the economics of electric vehicle fleets and other electrification initiatives. Price fluctuations due to supply chain disruptions, technological advances, or inflation can dramatically alter project economics.  Scenarios that model different labor cost trajectories, maintenance requirements, and operational efficiencies provide a more complete picture of long-term financial impacts. This analysis reveals which solutions offer the most resilient value proposition despite variations in ongoing costs.</t>
  </si>
  <si>
    <t>M4Task 5: Evaluate Scenarios</t>
  </si>
  <si>
    <t>Companies should develop cost, technology, and financial scenarios for decarbonization planning because these frameworks enable strategic flexibility in an uncertain transition landscape while optimizing resource allocation across time horizons. Well-constructed scenarios build investor and stakeholder confidence by demonstrating credible pathways to ambitious targets, complete with realistic financial implications.  By anticipating multiple possible futures, businesses can identify critical decision points, strategic opportunities, and potential vulnerabilities, positioning themselves in a decarbonized economy.</t>
  </si>
  <si>
    <t>M4Task 4: Assess scenarios and select pathway</t>
  </si>
  <si>
    <t>No cost parameters were considered in ERP development</t>
  </si>
  <si>
    <t xml:space="preserve">Need to quantify and has strategic relevance to our operations </t>
  </si>
  <si>
    <t>No characteristics identified</t>
  </si>
  <si>
    <t xml:space="preserve">Business changes are not factored into our scenario planning </t>
  </si>
  <si>
    <t>No identified ERMs in facility and portfolio-level assessments</t>
  </si>
  <si>
    <t>ERM Interactions in deployment schedule are still being identified and evaluated</t>
  </si>
  <si>
    <t>Key consideration are still being identified and evaluated</t>
  </si>
  <si>
    <t>A comprehensive energy management handbook serves as a crucial operational foundation by centralizing industry best practices and company-specific standards in one authoritative resource. 
Key Actions: 
1) Define clear objectives for the handbook that align with company sustainability goals and regulatory requirements.
2) Create standardized procedures for energy monitoring, equipment maintenance, and efficiency upgrades that can be implemented consistently.
3) Develop performance metrics and KPIs to measure progress, along with reporting templates and dashboards.
4) Establish roles and responsibilities for energy management across all organizational levels.
5) Include implementation guidelines with step-by-step instructions for common energy-saving initiatives.
6) Design a continuous improvement process for regularly updating the handbook based on performance data and new technologies.
7) Plan for training and communication to ensure all employees understand how to use the handbook effectively.</t>
  </si>
  <si>
    <t xml:space="preserve">Weighted_Score </t>
  </si>
  <si>
    <t>50%ofScore</t>
  </si>
  <si>
    <t>Milestone_Total</t>
  </si>
  <si>
    <t>Milestone1_Feedback_Binary</t>
  </si>
  <si>
    <t>Milestone6_Feedback_Binary</t>
  </si>
  <si>
    <t>Milestone5_Feedback_Binary</t>
  </si>
  <si>
    <t>Milestone4_Feedback_Binary</t>
  </si>
  <si>
    <t>Milestone3_Feedback_Binary</t>
  </si>
  <si>
    <t>Milestone2_Feedback_Binary</t>
  </si>
  <si>
    <t>NEEES IMPROVEMENT (CONCAT)</t>
  </si>
  <si>
    <t>STRENGTHS (CONCAT)</t>
  </si>
  <si>
    <t>Critical_Tasks&lt;=50%TotalScore</t>
  </si>
  <si>
    <t>NEEDS IMPROVEMENT</t>
  </si>
  <si>
    <t>Tasks&gt;50%</t>
  </si>
  <si>
    <t>Milestone 6: Ongoing Implementation</t>
  </si>
  <si>
    <t>Milestone 3: Assess measures</t>
  </si>
  <si>
    <r>
      <t xml:space="preserve">Please describe your approach to project phasing and deployment timing for your emission reduction initiatives </t>
    </r>
    <r>
      <rPr>
        <i/>
        <sz val="14"/>
        <color theme="0" tint="-0.499984740745262"/>
        <rFont val="Arial"/>
        <family val="2"/>
      </rPr>
      <t xml:space="preserve">(Type in % reduction of set goal) </t>
    </r>
    <r>
      <rPr>
        <sz val="14"/>
        <color theme="1"/>
        <rFont val="Arial"/>
        <family val="2"/>
      </rPr>
      <t>&amp;</t>
    </r>
    <r>
      <rPr>
        <i/>
        <sz val="14"/>
        <color rgb="FF00B0F0"/>
        <rFont val="Arial"/>
        <family val="2"/>
      </rPr>
      <t xml:space="preserve"> (Choose year from dropdown list)  </t>
    </r>
  </si>
  <si>
    <t>Companies should consider setting an Internal Cost of Carbon as it creates a concrete financial mechanism to prioritize emission reduction measures while aligning decision-making across departments with strategic climate goals. Calculating the Marginal Cost of Abatement helps companies identify which emission reduction opportunities deliver the most impact per dollar invested, enabling more strategic allocation of limited resources to maximize decarbonization results. Including metrics like water and waste reduction in sustainability assessments captures additional environmental benefits that would otherwise be overlooked, often revealing synergistic opportunities where single initiatives can address multiple sustainability challenges simultaneously. Quantifying non-energy benefits such as improved productivity, reduced maintenance costs, enhanced brand value, and regulatory compliance provides a more complete financial picture that can transform seemingly marginal projects into compelling investments with substantial returns. Broadening capital financing requests to include emission reduction measures with payback periods greater than 2-3 years acknowledges the long-term nature of climate investments and prevents systematic exclusion of transformative decarbonization opportunities that deliver significant value beyond traditional short-term financial metrics.</t>
  </si>
  <si>
    <t>Companies should consider annual budget cycles when planning emission reduction deployments to align decarbonization initiatives with established financial planning processes, ensuring adequate funding is secured at optimal times. Financing availability and cost fluctuations significantly impact project feasibility, making it strategic to time implementations when favorable terms can maximize return on investment. Synchronizing emission reduction measures with equipment end-of-life creates natural replacement opportunities that minimize disruption and capture efficiency gains at lower incremental costs. Integrating decarbonization with deferred maintenance schedules prevents duplicated work and downtime while addressing both operational needs and sustainability goals simultaneously. The magnitude of emissions reductions should influence prioritization to capture the most significant climate impact early in the deployment timeline, demonstrating meaningful progress toward targets. Technology availability and cost curves should inform timing decisions, as delaying certain implementations may allow access to more advanced solutions at lower prices as markets mature. Projected grid emissions factors should guide electrification timing, as the carbon benefits of electric alternatives increase as grids incorporate more renewable energy sources, potentially justifying strategic delays in certain transitions.</t>
  </si>
  <si>
    <t>Companies should secure stakeholder buy-in for decarbonization initiatives because it transforms potential resistance into active support, significantly increasing the likelihood of successful implementation across the organization. Engaged stakeholders contribute valuable operational insights and innovative solutions that technical experts might overlook, while leadership commitment ensures consistent prioritization of sustainability amid competing business demands.</t>
  </si>
  <si>
    <t>Companies should communicate their ERP to build accountability for meeting climate commitments while demonstrating leadership to investors increasingly focused on sustainability performance. Regular internal updates ensure employees understand their role in decarbonization efforts, fostering a culture where sustainability becomes integrated into daily operations rather than viewed as a separate initiative. External stakeholder communication transforms sustainability achievements into tangible market advantages by helping customers meet their own emissions targets, differentiation products in competitive markets, and strengthening community relationships.</t>
  </si>
  <si>
    <r>
      <t xml:space="preserve">Which approach does your organization use to prioritize and build business cases for  ERMs?   </t>
    </r>
    <r>
      <rPr>
        <i/>
        <sz val="14"/>
        <color rgb="FF92D050"/>
        <rFont val="Arial"/>
        <family val="2"/>
      </rPr>
      <t>(Select all that apply)</t>
    </r>
  </si>
  <si>
    <r>
      <t xml:space="preserve">Financing mechanisms are still being identified and evaluated to fund ERP </t>
    </r>
    <r>
      <rPr>
        <u/>
        <sz val="12"/>
        <color theme="1"/>
        <rFont val="Arial"/>
        <family val="2"/>
      </rPr>
      <t>OR</t>
    </r>
    <r>
      <rPr>
        <sz val="12"/>
        <color theme="1"/>
        <rFont val="Arial"/>
        <family val="2"/>
      </rPr>
      <t xml:space="preserve"> No financing mechanisms are being considered to fund ERMs</t>
    </r>
  </si>
  <si>
    <r>
      <t xml:space="preserve">Business cases are being identified and evaluated </t>
    </r>
    <r>
      <rPr>
        <u/>
        <sz val="12"/>
        <color theme="1"/>
        <rFont val="Arial"/>
        <family val="2"/>
      </rPr>
      <t>OR</t>
    </r>
    <r>
      <rPr>
        <sz val="12"/>
        <color theme="1"/>
        <rFont val="Arial"/>
        <family val="2"/>
      </rPr>
      <t xml:space="preserve"> No business cases have been developed</t>
    </r>
  </si>
  <si>
    <t>Project deployment schedule not developed yet</t>
  </si>
  <si>
    <r>
      <t xml:space="preserve">Companies can effectively prioritize SGEs for further analysis when they are hard to decarbonize:
</t>
    </r>
    <r>
      <rPr>
        <b/>
        <sz val="10"/>
        <color theme="1"/>
        <rFont val="Arial"/>
        <family val="2"/>
      </rPr>
      <t xml:space="preserve">Key Actions:
</t>
    </r>
    <r>
      <rPr>
        <sz val="10"/>
        <color theme="1"/>
        <rFont val="Arial"/>
        <family val="2"/>
      </rPr>
      <t>1) Identify and rank all emission sources by both magnitude and frequency across facilities
2) Create 2 tracks- large unique sources or common sources present in multiple facilities
3) Allocate resources based on: potential emission reduction impact, technical feasibility, cost-effectiveness</t>
    </r>
  </si>
  <si>
    <r>
      <t xml:space="preserve">Organizations can procure renewable energy to reduce Scope 2 emissions. 
</t>
    </r>
    <r>
      <rPr>
        <b/>
        <sz val="10"/>
        <color theme="1"/>
        <rFont val="Arial"/>
        <family val="2"/>
      </rPr>
      <t>Key Actions:</t>
    </r>
    <r>
      <rPr>
        <sz val="10"/>
        <color theme="1"/>
        <rFont val="Arial"/>
        <family val="2"/>
      </rPr>
      <t xml:space="preserve">
1) Determine whether physical PPAs, virtual PPAs, or a mix of solutions best suits your needs and set goals for energy procurement in terms of volume and timeline.
2) Research potential renewable energy developers and suppliers with experience in your desired markets.
3) Develop a comprehensive RFP that outlines your requirements and assess proposal from vendors based on your needs. </t>
    </r>
  </si>
  <si>
    <t>TASK LIST</t>
  </si>
  <si>
    <t>MILESTONE FEEDBACK</t>
  </si>
  <si>
    <r>
      <rPr>
        <sz val="10"/>
        <color theme="1"/>
        <rFont val="Aptos Narrow"/>
        <family val="2"/>
      </rPr>
      <t>•</t>
    </r>
    <r>
      <rPr>
        <sz val="10"/>
        <color theme="1"/>
        <rFont val="Arial"/>
        <family val="2"/>
      </rPr>
      <t xml:space="preserve"> Effective emission reduction strategies require early engagement with internal stakeholders like executives, finance teams, and engineers to ensure feasibility and organizational alignment. Simultaneously, involving external stakeholders brings specialized expertise and industry best practices that complement internal capabilities. This collaborative approach between internal and external stakeholders creates more robust and practical emission reduction initiatives.</t>
    </r>
  </si>
  <si>
    <t>• Organizations should establish a systematic consolidation framework aligned with GHG Protocol standards by mapping all entities and operations within scope, while properly accounting for joint ventures and shared ownership arrangements. A centralized emissions tracking system with regular reporting schedules and defined base year recalculation criteria helps maintain an accurate and current GHG inventory. Transparent reporting processes with robust review mechanisms and change tracking improve data quality, support accurate trend analysis, and minimize reporting errors and regulatory penalties.</t>
  </si>
  <si>
    <t>• Ambitious targets drive innovation and efficiency, often reducing costs through lower energy use and optimized processes. These goals strengthen market position as consumers and investors favor environmentally responsible businesses. Demonstrating climate leadership creates competitive advantages when securing contracts with customers who have their own emission reduction requirements.</t>
  </si>
  <si>
    <t>• A systematic approach to emission reduction focuses company resources on the most impactful opportunities by using a standardized assessment matrix that evaluates each project's reduction potential, costs, ROI, and strategic alignment. Organizations should prioritize projects based on assessment scores and group them into near-term and long-term categories while identifying dependencies between initiatives. Considering co-benefits beyond carbon reduction, such as cost savings, water conservation, and improved product quality, makes emission reduction projects more financially attractive and creates broader business value.</t>
  </si>
  <si>
    <t>• Companies should identify and quantify significant emission sources (SGEs) as understanding these helps prioritize cost-effective reduction opportunities and investments in cleaner technologies.</t>
  </si>
  <si>
    <t xml:space="preserve">• Benchmarking processes begin with normalizing energy data against key metrics like production output or revenue, enabling meaningful comparisons against industry standards to identify improvement opportunities and internal best practices across facilities. A comprehensive energy management handbook centralizes these benchmarking insights alongside company-specific standards and industry best practices, ensuring consistent implementation of energy efficiency measures, clear accountability, and alignment with long-term decarbonization goals. </t>
  </si>
  <si>
    <t>• Companies should prioritize hard-to-decarbonize Significant Emission Sources (SGEs) through a data-driven assessment that ranks emission sources by magnitude and frequency across facilities.</t>
  </si>
  <si>
    <t>• A facility-level decarbonization assessment provides organizations with crucial granular data needed to develop an effective Emission Reduction Plan (ERP). By examining each facility individually, organizations can identify facility-specific emission hotspots, unique reduction opportunities, and operational constraints that would be missed in a portfolio-wide approach. This facility-by-facility analysis enables more precise prioritization of investments based on each site's emission profile, cost-effectiveness of potential interventions, and technical feasibility. Additionally, a detailed facility assessment helps organizations set realistic, site-specific reduction targets that account for local factors like energy grid composition, climate conditions, and regulatory requirements. This granularity creates a more actionable ERP with tailored implementation strategies for each facility, improving overall execution effectiveness and maximizing emission reductions across the entire portfolio.</t>
  </si>
  <si>
    <t>• A portfolio-level decarbonization assessment enables organizations to develop comprehensive strategies that capture enterprise-wide opportunities often missed in facility-focused approaches. By examining renewable energy procurement at scale, organizations can negotiate better power purchase agreements, reduce costs through larger volume contracts, and optimize placement of renewable assets across their portfolio rather than sub-optimizing at individual sites. For mobile emissions, a portfolio assessment allows for strategic fleet management decisions, including centralized vehicle replacement schedules, consolidated charging infrastructure planning, and coordinated logistics optimization that reduces overall transportation emissions. This holistic approach also identifies cross-facility synergies where excess renewable generation at one site could benefit another or where circular economy initiatives could reduce emissions across multiple locations. Portfolio-level assessment provides critical context for capital allocation decisions, helping organizations balance investments between high-impact centralized initiatives and facility-specific projects.</t>
  </si>
  <si>
    <t>• Developing multiple decarbonization pathways provides companies with strategic flexibility in an uncertain and rapidly evolving environment. Different scenarios allow organizations to account for various technological developments, market shifts, regulatory changes, and investment timelines that could significantly impact the feasibility of their decarbonization efforts. By modeling multiple pathways, companies can identify common "no-regrets" actions that deliver value across all scenarios while maintaining optionality for future decision points. This approach creates resilience against disruptions like supply chain issues, technology underperformance, or budget constraints that might derail a single-pathway strategy. Having alternative pathways enables companies to adapt more quickly as conditions change, pivoting between strategies based on emerging opportunities or challenges rather than having to rebuild their entire approach when faced with unexpected obstacles.</t>
  </si>
  <si>
    <t>• Corporate emission strategies must anticipate portfolio changes from acquisitions, divestments, and capacity expansions, building flexibility to maintain decarbonization momentum despite evolving business operations. Companies expanding into different markets need scenarios accounting for regional variations in renewable energy availability and regulatory environments, while product mix shifts substantially impact emission profiles. Facility renovations and new construction offer cost-effective opportunities to implement low-carbon technologies rather than relying on future retrofits.</t>
  </si>
  <si>
    <t>• Systematically evaluating decarbonization projects across multiple dimensions allows companies to develop roadmaps that balance immediate impact with strategic positioning, prioritizing initiatives with the highest emission reduction potential per dollar invested while anticipating infrastructure demands and potential bottlenecks. Companies can sequence initiatives to align with scheduled maintenance periods or seasonal fluctuations, minimizing operational disruptions while maintaining progress toward emission targets. This temporal planning approach enables organizations to implement near-term projects for immediate progress while simultaneously laying foundational work for longer-term solutions, strategically timing deployments to capture cost reductions as technologies mature.</t>
  </si>
  <si>
    <t>• Defining Scenarios and  accounting for critical cost variables enables companies to create emission reduction strategies that remain economically viable through market fluctuations, technological changes, and macroeconomic shifts, particularly as fossil fuel prices, low-carbon fuel markets, and electricity costs evolve. Companies should integrate financing parameters like interest rates and funding mechanisms into decarbonization planning, creating structured approaches such as internal carbon pricing, dedicated capital allocations, and revolving sustainability funds that ensure climate projects don't compete directly against core business investments. Organizations must model grid decarbonization timelines to properly sequence electrification investments, while assessing technologies along a readiness spectrum to balance innovation with reliability for both immediate deployment and future implementation. Projecting how electrification, efficiency improvements, and production changes will reshape energy profiles helps identify potential constraints in utility capacity and highlights opportunities for demand management through load shifting or storage. Additionally, companies must assess regulatory considerations, including how permitting processes for new technologies might affect implementation schedules, to develop realistic timelines for their decarbonization roadmaps.</t>
  </si>
  <si>
    <t>• Developing comprehensive cost, technology, and financial scenarios for decarbonization planning enables companies to maintain strategic flexibility while optimizing resource allocation across different time horizons in an uncertain transition landscape. These well-constructed scenarios demonstrate credible pathways to ambitious targets with realistic financial implications, building investor and stakeholder confidence while anticipating multiple possible futures.</t>
  </si>
  <si>
    <t>• Companies that strengthen their sustainability governance and operational standards achieve better resilience, investor confidence, and long-term value creation while preventing disruptions through improved maintenance practices. Updating project evaluation standards is essential to properly account for sustainability factors that increasingly impact financial performance and regulatory compliance, requiring the development of internal capabilities through training, certification, and subject matter expertise to establish the human capital foundation necessary for successful decarbonization. Critical operational areas like procurement, equipment replacement, and supply chain collaboration represent key leverage points for achieving significant emissions reductions while often delivering cost savings through improved efficiency. Traditional capital allocation models must be revised as they systematically undervalue long-term climate benefits and overweigh short-term costs, while effective communication of decarbonization efforts builds stakeholder trust and creates competitive advantage in today's environmentally conscious marketplace.</t>
  </si>
  <si>
    <t>• Companies should define financing and project deployment schedules for their Emission Reduction Plans to replace ad-hoc approaches with systematic implementation, preventing missed opportunities and inefficient resource allocation. Well-structured financing schedules ensure appropriate funding mechanisms align with project timelines, while thoughtful deployment sequences optimize interdependencies between initiatives, minimize disruptions, and maximize cost-saving synergies. Clear timelines with established milestones create organizational accountability and enable regular assessment as technologies and regulations evolve, transforming abstract sustainability goals into concrete action plans that build credibility with stakeholders demanding transparent climate commitments.</t>
  </si>
  <si>
    <t>• Companies should secure final stakeholder buy-in and formally release their Emission Reduction Plan because official endorsement transforms the plan from an aspirational document into an actionable commitment with organizational accountability. A formally released ERP sends a clear signal to employees about strategic priorities, establishes credibility with external stakeholders seeking evidence of genuine climate action, and creates a unified reference point that aligns diverse departments around common sustainability objectives and timelines.</t>
  </si>
  <si>
    <t>• A dedicated ERP implementation budget ensures uninterrupted project completion, enables ROI tracking, and reduces implementation risks, while comprehensive timelines create clear milestones and facilitate cross-departmental coordination. Thorough risk assessment before implementation enables effective mitigation strategies, addresses adoption barriers, and supports contingency planning to minimize business disruption.</t>
  </si>
  <si>
    <t>• Measuring emission reductions in ERP systems enables accurate environmental impact tracking, regulatory compliance, credible sustainability reporting, enhanced stakeholder trust, and data-informed decision-making for future initiatives as environmental standards evolve.</t>
  </si>
  <si>
    <t>• Capturing and sharing key learnings from ERP implementations through structured knowledge management systems prevents repetition of past mistakes and preserves valuable institutional knowledge.</t>
  </si>
  <si>
    <t xml:space="preserve">     Thomas Wenning (ORNL)</t>
  </si>
  <si>
    <r>
      <t xml:space="preserve">Has your company developed a comprehensive inventory of emissions reduction measures (ERMs) at both facility and portfolio levels, and completed scenario analysis to validate their contribution toward your decarbonization targets? </t>
    </r>
    <r>
      <rPr>
        <i/>
        <sz val="14"/>
        <color theme="5"/>
        <rFont val="Arial"/>
        <family val="2"/>
      </rPr>
      <t>(Select any one)</t>
    </r>
  </si>
  <si>
    <r>
      <t xml:space="preserve">How have you achieved stakeholder buy-in? </t>
    </r>
    <r>
      <rPr>
        <i/>
        <sz val="14"/>
        <color theme="5"/>
        <rFont val="Arial"/>
        <family val="2"/>
      </rPr>
      <t>(Select any one)</t>
    </r>
  </si>
  <si>
    <r>
      <t xml:space="preserve">How have you communicated your ERP to internal and external stakeholders?  </t>
    </r>
    <r>
      <rPr>
        <i/>
        <sz val="14"/>
        <color theme="5"/>
        <rFont val="Arial"/>
        <family val="2"/>
      </rPr>
      <t>(Select any one)</t>
    </r>
  </si>
  <si>
    <r>
      <t xml:space="preserve">Organizations should establish a systematic consolidation framework aligned with GHG Protocol's  organizational boundaries ensuring consistent and accurate emissions accounting across all entities and operations.
</t>
    </r>
    <r>
      <rPr>
        <b/>
        <sz val="10"/>
        <color theme="1"/>
        <rFont val="Arial"/>
        <family val="2"/>
      </rPr>
      <t>Key actions</t>
    </r>
    <r>
      <rPr>
        <sz val="10"/>
        <color theme="1"/>
        <rFont val="Arial"/>
        <family val="2"/>
      </rPr>
      <t>: 
1) Select appropriate consolidation approach by mapping all entities, facilities, and operations within scope, identifying joint ventures and shared ownership arrangements and create decision trees for boundary determinations.</t>
    </r>
  </si>
  <si>
    <r>
      <t>Organizations should ensure consistent and accurate GHG inventory consolidation that aligns with GHG Protocol requirements.</t>
    </r>
    <r>
      <rPr>
        <b/>
        <sz val="10"/>
        <color theme="1"/>
        <rFont val="Arial"/>
        <family val="2"/>
      </rPr>
      <t xml:space="preserve">
Key Action:</t>
    </r>
    <r>
      <rPr>
        <sz val="10"/>
        <color theme="1"/>
        <rFont val="Arial"/>
        <family val="2"/>
      </rPr>
      <t xml:space="preserve"> 
1) Develop standardized data collection templates, create emissions factor databases, define data ownership and responsibilities.
2) Create centralized emissions tracking system, establish regular reporting schedules, define base year recalculation criteria.</t>
    </r>
  </si>
  <si>
    <r>
      <t>Organization should maintained transparency and traceability in their emissions reporting.</t>
    </r>
    <r>
      <rPr>
        <b/>
        <sz val="10"/>
        <color theme="1"/>
        <rFont val="Arial"/>
        <family val="2"/>
      </rPr>
      <t xml:space="preserve">
Key Action: 
</t>
    </r>
    <r>
      <rPr>
        <sz val="10"/>
        <color theme="1"/>
        <rFont val="Arial"/>
        <family val="2"/>
      </rPr>
      <t>1) Develop internal audit procedures, set up review processes, establish error checking mechanisms.
2) Track organizational changes that effect consolidation approach, document calculation methodologies.</t>
    </r>
  </si>
  <si>
    <t>Systematic approach helps ensure company resources are directed to the most impactful and feasible emission reduction opportunities while managing risks and stakeholder needs.
Key Actions: 
1) Create a standardized assessment matrix that evaluates each potential project across key dimensions- Quantified emission reduction potential, implementation costs and ROI, alignment with company strategy and goals.
2) Develop weighted scoring criteria: Assign relative importance to each evaluation factor, create scoring guidelines for consistent assessment, set minimum thresholds for critical criteria, define a clear methodology for calculating total project scores.
3) Prioritize and sequence projects: Rank projects based on assessment scores, group initiatives into near-term and long-term categories, identify dependencies between projects.</t>
  </si>
  <si>
    <t>Companies should consider co-benefits for their project because this approach captures broader business value beyond energy and carbon reduction. Projects that deliver multiple benefits like cost savings, water conservation, and improved product quality become more financially attractive and easier to justify. Evaluating factors such as technology availability, safety, and production impacts helps identify synergies early while ensuring investments serve multiple business objectives simultaneously. This comprehensive view strengthens project success rates and maximizes return on investment.</t>
  </si>
  <si>
    <t>• Companies should consider key operational characteristics as they determine the feasibility and impact of emission reduction initiatives. Facility type, ownership, and location influence available options, while grid carbon intensity affects electrification benefits. Understanding equipment lifecycles and process emissions helps target major opportunities, while knowledge of incentives optimizes project economics.</t>
  </si>
  <si>
    <r>
      <t xml:space="preserve">Companies should identify and quantify their SGEs since understanding emission sources helps companies identify the most cost-effective reduction opportunities and prioritize investments in cleaner technologies or processes.
</t>
    </r>
    <r>
      <rPr>
        <b/>
        <sz val="10"/>
        <color theme="1"/>
        <rFont val="Arial"/>
        <family val="2"/>
      </rPr>
      <t xml:space="preserve">Key Actions: 
</t>
    </r>
    <r>
      <rPr>
        <sz val="10"/>
        <color theme="1"/>
        <rFont val="Arial"/>
        <family val="2"/>
      </rPr>
      <t>1) Compile an inventory of all processes and systems, collect basic operational data. 
2) Calculate preliminary emissions estimates for each system, set a materiality threshold (e.g., sources contributing &gt;5% of total emissions).
3) Focus resources on systems above materiality threshold.</t>
    </r>
  </si>
  <si>
    <r>
      <t xml:space="preserve">Organization should prioritize energy efficiency opportunities across all facilities and  operation.
</t>
    </r>
    <r>
      <rPr>
        <b/>
        <sz val="10"/>
        <color theme="1"/>
        <rFont val="Arial"/>
        <family val="2"/>
      </rPr>
      <t xml:space="preserve">Key Actions:
</t>
    </r>
    <r>
      <rPr>
        <sz val="10"/>
        <color theme="1"/>
        <rFont val="Arial"/>
        <family val="2"/>
      </rPr>
      <t>1) Collecting historical energy bill and consumption data to understand the energy consumption profiles by process/area.
2) Perform energy assessments analyzing system inefficiencies and behavioral improvement opportunities.
3) Calculate technical savings potential, perform cost-benefit analysis, evaluate operational impacts and prioritize opportunities based on financial and performance impacts.</t>
    </r>
  </si>
  <si>
    <r>
      <t xml:space="preserve">Organizations should develop a plan for strategic conversion to electric alternatives.
</t>
    </r>
    <r>
      <rPr>
        <b/>
        <sz val="10"/>
        <color theme="1"/>
        <rFont val="Arial"/>
        <family val="2"/>
      </rPr>
      <t>Key Actions</t>
    </r>
    <r>
      <rPr>
        <sz val="10"/>
        <color theme="1"/>
        <rFont val="Arial"/>
        <family val="2"/>
      </rPr>
      <t xml:space="preserve">: 
1) Inventory all fossil fuel-powered equipment, map energy consumption patterns, analyze load profiles and capacity operational requirements.
2) Evaluate technical feasibility of electric alternatives, assess market availability of electric equipment, energy cost savings and rate structure impacts.
3)Review process and infrastructure modification requirements, productivity improvements and operational impacts and maintenance requirement.
</t>
    </r>
  </si>
  <si>
    <r>
      <t xml:space="preserve">Organizations should considering infrastructure requirements when considering electrification.
</t>
    </r>
    <r>
      <rPr>
        <b/>
        <sz val="10"/>
        <color theme="1"/>
        <rFont val="Arial"/>
        <family val="2"/>
      </rPr>
      <t>Key Actions:</t>
    </r>
    <r>
      <rPr>
        <sz val="10"/>
        <color theme="1"/>
        <rFont val="Arial"/>
        <family val="2"/>
      </rPr>
      <t xml:space="preserve">
1) Assess electrical capacity needs, evaluate grid connection requirements, document upgrade specifications.
2) Schedule initial consultation with utility representatives and share electrification plans and timelines.
3) Consider energy storage solutions and demand response programs.</t>
    </r>
  </si>
  <si>
    <r>
      <t xml:space="preserve">Organizations should develop a plan for strategic conversion to low carbon fuel  alternatives.
</t>
    </r>
    <r>
      <rPr>
        <b/>
        <sz val="10"/>
        <color theme="1"/>
        <rFont val="Arial"/>
        <family val="2"/>
      </rPr>
      <t>Key Actions:</t>
    </r>
    <r>
      <rPr>
        <sz val="10"/>
        <color theme="1"/>
        <rFont val="Arial"/>
        <family val="2"/>
      </rPr>
      <t xml:space="preserve">
1) Map all fuel usage across operations , document current fuel types, volumes, and associated emissions.
2) Research suitable low carbon fuels, calculate potential emissions reductions compare fuel costs and availability, assess the operation and production impacts.</t>
    </r>
  </si>
  <si>
    <r>
      <t xml:space="preserve">Organizations should considering infrastructure requirements when considering low carbon alternatives. 
</t>
    </r>
    <r>
      <rPr>
        <b/>
        <sz val="10"/>
        <color theme="1"/>
        <rFont val="Arial"/>
        <family val="2"/>
      </rPr>
      <t>Key Actions:</t>
    </r>
    <r>
      <rPr>
        <sz val="10"/>
        <color theme="1"/>
        <rFont val="Arial"/>
        <family val="2"/>
      </rPr>
      <t xml:space="preserve">
1) Estimate the quantity of alternate fuel required based on heating value of fuel, equipment operation and process needs. 
2) Assess tanks and pipe material compatibility implement leak detection system.</t>
    </r>
  </si>
  <si>
    <r>
      <t xml:space="preserve">Organizations should develop a plan for strategic onsite renewable energy to help reduce their energy cost and increase reliability. 
</t>
    </r>
    <r>
      <rPr>
        <b/>
        <sz val="10"/>
        <color theme="1"/>
        <rFont val="Arial"/>
        <family val="2"/>
      </rPr>
      <t>Key Actions:</t>
    </r>
    <r>
      <rPr>
        <sz val="10"/>
        <color theme="1"/>
        <rFont val="Arial"/>
        <family val="2"/>
      </rPr>
      <t xml:space="preserve">
1) Assess  available space structural feasibility and measure renewable energy potential.
2) Conduct grid interconnection study, storage feasibility and estimate total energy and emission reduction. </t>
    </r>
  </si>
  <si>
    <r>
      <t xml:space="preserve">Organization can focus on SGEs to effectively reduce their emissions.
</t>
    </r>
    <r>
      <rPr>
        <b/>
        <sz val="10"/>
        <color theme="1"/>
        <rFont val="Arial"/>
        <family val="2"/>
      </rPr>
      <t>Key Actions:</t>
    </r>
    <r>
      <rPr>
        <sz val="10"/>
        <color theme="1"/>
        <rFont val="Arial"/>
        <family val="2"/>
      </rPr>
      <t xml:space="preserve">
1) Develop a list of process/system and map emission source and identify high emission systems.
2)Survey available low-carbon technologies, evaluate technological maturity , assess implementation requirements and facility compatibility.</t>
    </r>
  </si>
  <si>
    <r>
      <t xml:space="preserve">Organization might in some cases need additional help with evaluating low-carbon technology alternatives.
</t>
    </r>
    <r>
      <rPr>
        <b/>
        <sz val="10"/>
        <color theme="1"/>
        <rFont val="Arial"/>
        <family val="2"/>
      </rPr>
      <t xml:space="preserve">Key Actions:
</t>
    </r>
    <r>
      <rPr>
        <sz val="10"/>
        <color theme="1"/>
        <rFont val="Arial"/>
        <family val="2"/>
      </rPr>
      <t>1)Engage specialized engineering consultants to conduct source-specific evaluations, request detailed technical specifications and performance guarantees.
2)Select representative facilities for initial pilot technology deployment, establish clear success metrics. 
3)Participate in industry working groups focused on decarbonization, join technology consortiums and innovation networks, engage with peer companies on lessons learned.</t>
    </r>
  </si>
  <si>
    <t>Engaging multiple strategies helps companies thoroughly evaluate low-carbon technologies before implementation. Third-party technology assessments provide independent verification of performance claims. Strategic pilot programs generate valuable facility-specific data, reveal practical implementation challenges, and help build internal expertise while creating detailed cost information for larger rollouts. Industry collaboration accelerates learning through shared experiences, enables cost-sharing on technology demonstrations, and provides access to proven solutions and reliable vendors.</t>
  </si>
  <si>
    <r>
      <t xml:space="preserve">Relying on a single decarbonization strategy creates unnecessary vulnerability for companies committed to reducing their carbon footprint. Multiple pathways provide crucial risk mitigation against potential technology failures or market volatility. Different operations within a company require tailored solutions rather than a one-size-fits-all approach. Combining quick-win solutions like energy efficiency with longer-term transformations creates both immediate results and strategic progress.  A diverse strategy allows simultaneous targeting of scope 1 and  2 emissions while prioritizing high-impact areas. 
Key Actions: 
1) </t>
    </r>
    <r>
      <rPr>
        <b/>
        <sz val="10"/>
        <color theme="1"/>
        <rFont val="Arial"/>
        <family val="2"/>
      </rPr>
      <t>Comprehensive Assessment and Strategy Development</t>
    </r>
    <r>
      <rPr>
        <sz val="10"/>
        <color theme="1"/>
        <rFont val="Arial"/>
        <family val="2"/>
      </rPr>
      <t xml:space="preserve">- Conduct a detailed carbon footprint analysis across Scope 1 and 2, identify the highest-impact areas and "quick win" opportunities, develop a portfolio of complementary strategies rather than a single solution 
2) </t>
    </r>
    <r>
      <rPr>
        <b/>
        <sz val="10"/>
        <color theme="1"/>
        <rFont val="Arial"/>
        <family val="2"/>
      </rPr>
      <t>Energy Transition Actions</t>
    </r>
    <r>
      <rPr>
        <sz val="10"/>
        <color theme="1"/>
        <rFont val="Arial"/>
        <family val="2"/>
      </rPr>
      <t>- Implement energy efficiency programs across facilities (lighting, HVAC, insulation), invest in on-site renewable energy generation where feasible, establish power purchase agreements (PPAs) for renewable electricity, explore clean thermal energy solutions for industrial processes.</t>
    </r>
  </si>
  <si>
    <r>
      <t xml:space="preserve">Cost, financing, technology readiness and other parameters can effect decarbonization scenarios.  Not all technically possible pathways are financially viable for a specific company. Cost constraints, financing cycles, and technology maturity dictate when different initiatives can realistically be implemented. Understanding these factors helps identify potential vulnerabilities in decarbonization strategies. Companies that effectively navigate these parameters can achieve cost-effective decarbonization while maintaining or enhancing market position.
Key Actions:
1) </t>
    </r>
    <r>
      <rPr>
        <b/>
        <sz val="10"/>
        <color theme="1"/>
        <rFont val="Arial"/>
        <family val="2"/>
      </rPr>
      <t>Cost Evaluation</t>
    </r>
    <r>
      <rPr>
        <sz val="10"/>
        <color theme="1"/>
        <rFont val="Arial"/>
        <family val="2"/>
      </rPr>
      <t>- Conduct sensitivity analysis to understand how different carbon price scenarios affect ROI for various pathways, identify and quantify co-benefits (water savings, waste reduction, productivity improvements) to capture full value, create a marginal abatement cost curve (MACC) to prioritize initiatives by cost-effectiveness, establish regular review cycles to reassess costs as technologies mature and economies of scale emerge.
2)</t>
    </r>
    <r>
      <rPr>
        <b/>
        <sz val="10"/>
        <color theme="1"/>
        <rFont val="Arial"/>
        <family val="2"/>
      </rPr>
      <t xml:space="preserve"> Financing Strategy</t>
    </r>
    <r>
      <rPr>
        <sz val="10"/>
        <color theme="1"/>
        <rFont val="Arial"/>
        <family val="2"/>
      </rPr>
      <t xml:space="preserve">- Assess eligibility for government incentives, grants, and tax benefits for climate initiatives, Develop an internal carbon pricing mechanism to create funding for emissions reduction projects, structure innovative financing approaches like energy-as-a-service or pay-for-performance models.
3) </t>
    </r>
    <r>
      <rPr>
        <b/>
        <sz val="10"/>
        <color theme="1"/>
        <rFont val="Arial"/>
        <family val="2"/>
      </rPr>
      <t>Technology Assessment</t>
    </r>
    <r>
      <rPr>
        <sz val="10"/>
        <color theme="1"/>
        <rFont val="Arial"/>
        <family val="2"/>
      </rPr>
      <t>- Establish partnerships with technology providers, research institutions, and startups in relevant fields, allocate resources for technology monitoring and horizon scanning to identify breakthrough opportunities, participate in industry consortiums focused on developing and commercializing critical decarbonization technologies.</t>
    </r>
  </si>
  <si>
    <r>
      <t xml:space="preserve">Planning for business changes during ERP development can help make the plan more robust. Acquisitions and divestments dramatically alter a company's emissions profile. Emission strategies must anticipate how these changes affect overall targets and build flexibility to maintain decarbonization momentum despite portfolio shifts. Growth-oriented companies must account for how capacity expansions will increase their carbon footprint, potentially requiring more aggressive reduction measures elsewhere. Shifts in product mix, whether strategic or market-driven, substantially affect a company's emissions profile. Companies expanding in different market, need emission scenarios that account for regional differences in renewable energy availability, carbon pricing, and sustainability expectations. Renovations and new construction represent critical intervention points for emission reductions. Incorporating low-carbon technologies during planned facility changes is more cost-effective than retrofitting. 
</t>
    </r>
    <r>
      <rPr>
        <b/>
        <sz val="10"/>
        <color theme="1"/>
        <rFont val="Arial"/>
        <family val="2"/>
      </rPr>
      <t xml:space="preserve">Key Actions: </t>
    </r>
    <r>
      <rPr>
        <sz val="10"/>
        <color theme="1"/>
        <rFont val="Arial"/>
        <family val="2"/>
      </rPr>
      <t xml:space="preserve">
1) Portfolio Management Action- Develop a process for evaluating emissions impact of potential acquisitions and divestments, create an emissions integration plan for newly acquired businesses.
2) Production Capacity Planning- Implement a carbon impact assessment for all capacity expansion projects, develop intensity-based metrics that complement absolute emissions targets to account for growth, establish regular reconciliation between production planning and emissions reduction roadmaps.
3) Market Expansion Strategy Actions- Create an opportunity map that identifies favorable regions for low-carbon operations, develop market-specific decarbonization playbooks that account for local energy infrastructure, build relationships with regional renewable energy providers in advance of market entry.
4) Facility Planning- Develop a facilities decarbonization roadmap aligned with renovation and replacement cycles, create design standards for new facilities that incorporate best-available low-carbon technologies, establish a carbon lock-in assessment for all major infrastructure decisions.
5) Crosscutting integrating- Establish quarterly cross-functional sustainability planning meetings with business development, operations, and strategy teams, Develop executive dashboards that link business changes to emissions implications</t>
    </r>
  </si>
  <si>
    <t>Company should ensure their reduction planning accounts for the full complexity of energy efficiency impacts, process change effects, and regional grid variations.
Key Actions: 
1) Energy Efficiency Impact Assessment- Develop models to quantify both direct and indirect emission reductions from efficiency projects.
2)Process Change Analysis-  Develop KPIs that capture system-wide emission and sustainability impacts rather than isolated process metrics, establish cross-functional review teams to identify unintended emission consequences.
3)Location-Specific Electrification Strategy- Prioritize electrification projects based on current and forecasted grid carbon intensity, establish partnerships with local utilities to access grid transition planning information, create location-specific electrification roadmaps with optimal timing based on grid greening trajectories.
4) Integration and Decision Support- Establish regular review cycles to reassess prioritization as conditions evolve, build decision support tool that visualize complex emission reduction trade-offs.</t>
  </si>
  <si>
    <t>• Companies should have a list of emission reduction measure that cover both facility and corporate portfolio while completing scenario analysis to validate their contribution toward decarbonization targets. Scenario analysis is essential for testing the resilience of decarbonization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decarbonization targets and uncovers.</t>
  </si>
  <si>
    <t>Companies should have a list of emission reduction measure that cover both facility and corporate portfolio while completing scenario analysis to validate their contribution toward decarbonization targets. Scenario analysis is essential for testing the resilience of decarbonization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decarbonization targets and uncovers.</t>
  </si>
  <si>
    <r>
      <t xml:space="preserve">Companies that strengthen their sustainability governance achieve better operational resilience, increased investor confidence, and improved long-term value creation.
</t>
    </r>
    <r>
      <rPr>
        <b/>
        <u/>
        <sz val="10"/>
        <color theme="1"/>
        <rFont val="Arial"/>
        <family val="2"/>
      </rPr>
      <t xml:space="preserve">Key Actions: </t>
    </r>
    <r>
      <rPr>
        <sz val="10"/>
        <color theme="1"/>
        <rFont val="Arial"/>
        <family val="2"/>
      </rPr>
      <t xml:space="preserve">
1) </t>
    </r>
    <r>
      <rPr>
        <b/>
        <sz val="10"/>
        <color theme="1"/>
        <rFont val="Arial"/>
        <family val="2"/>
      </rPr>
      <t>Develop Sustainability Teams-</t>
    </r>
    <r>
      <rPr>
        <sz val="10"/>
        <color theme="1"/>
        <rFont val="Arial"/>
        <family val="2"/>
      </rPr>
      <t xml:space="preserve"> Establish a cross-functional sustainability team with clear roles, responsibilities, and authority, develop policy defining sustainability team's role, decision-making authority, and reporting structure, allocate dedicated budget and resources for sustainability team operations, implement regular training and upskilling program for team members, create formalized coordination mechanisms between sustainability team and other departments (finance, operations, procurement, etc.).
2) </t>
    </r>
    <r>
      <rPr>
        <b/>
        <sz val="10"/>
        <color theme="1"/>
        <rFont val="Arial"/>
        <family val="2"/>
      </rPr>
      <t>Implement Employee Recognition Programs-</t>
    </r>
    <r>
      <rPr>
        <sz val="10"/>
        <color theme="1"/>
        <rFont val="Arial"/>
        <family val="2"/>
      </rPr>
      <t xml:space="preserve"> Develop formal sustainability recognition program with defined criteria for employee contributions, incorporate sustainability metrics into performance review processes across all departments, create sustainability awards program with meaningful visibility and rewards, establish communication channels to highlight employee sustainability accomplishments.
3) </t>
    </r>
    <r>
      <rPr>
        <b/>
        <sz val="10"/>
        <color theme="1"/>
        <rFont val="Arial"/>
        <family val="2"/>
      </rPr>
      <t>Climate and Financial Risk Assessment Processes-</t>
    </r>
    <r>
      <rPr>
        <sz val="10"/>
        <color theme="1"/>
        <rFont val="Arial"/>
        <family val="2"/>
      </rPr>
      <t xml:space="preserve"> Develop standardized methodology for identifying and quantifying climate-related risks, create a climate risk register integrated with enterprise risk management systems, establish regular climate scenario analysis procedures aligned with TCFD recommendations, implement systems to track financial implications of climate risks and opportunities, develop board-level reporting procedures for climate-related financial risks.
4)Implement Public Sustainability Reporting- Select appropriate reporting frameworks (CDP, TCFD, SASB, GRI) aligned with company needs.</t>
    </r>
  </si>
  <si>
    <r>
      <t xml:space="preserve">Companies that strengthen their operation and maintenance standard achieve better operational resilience, prevent equipment failures to minimize operational disruption. 
</t>
    </r>
    <r>
      <rPr>
        <b/>
        <u/>
        <sz val="10"/>
        <color theme="1"/>
        <rFont val="Arial"/>
        <family val="2"/>
      </rPr>
      <t>Key Actions:</t>
    </r>
    <r>
      <rPr>
        <sz val="10"/>
        <color theme="1"/>
        <rFont val="Arial"/>
        <family val="2"/>
      </rPr>
      <t xml:space="preserve">
1) Develop Preventive Maintenance Plan- Conduct comprehensive inventory and condition assessment of all critical equipment and systems, implement digital asset management system to track equipment specifications, maintenance history, and performance data, establish risk-based prioritization methodology for maintenance activities based on equipment criticality, condition, and performance impact, implement predictive maintenance technologies (vibration analysis, thermography, oil analysis) for critical equipment.
2) Provide Training to Employees on Operation and Maintenance of New Technology- Develop comprehensive training curriculum covering both technical operations and energy efficiency best practices, implement digital training platforms with equipment-specific tutorials and troubleshooting guides, establish vendor partnerships for specialized training on proprietary equipment and systems, implement knowledge management system to capture institutional knowledge and best practices.
3) Conduct  Leak Monitoring Program- Develop comprehensive leak detection protocol covering compressed air, steam, refrigerants, and process fluids, acquire appropriate leak detection equipment (ultrasonic detectors, thermal cameras, gas analyzers), establish regular leak detection survey schedule with defined scope and frequency, develop leak repair prioritization methodology based on energy/resource loss and repair complexity, develop employee awareness program to encourage leak reporting. 
4) Keep Record of Building Upgrades and Equipment Replacement- Implement centralized asset lifecycle management system integrating with maintenance records, create standardized documentation requirements for all equipment replacements and upgrades, develop replacement planning framework that incorporates energy efficiency opportunities.</t>
    </r>
  </si>
  <si>
    <t>Updating project evaluation standards and procedures is crucial for companies as it ensures investment decisions properly account for sustainability factors like carbon emissions and energy efficiency, which increasingly impact financial performance and regulatory compliance.
Key Action: 
1) Conduct Periodic Energy and Decarbonization Assessments- Establish standardized energy assessment protocol with defined scope, frequency, and methodology, develop centralized tracking system for ERMs listed out in the assessments, implement regular energy treasure hunt program involving cross-functional teams to identify opportunities, implement decarbonization opportunity register to track and prioritize identified initiatives, integrate assessment findings and capital planning process. 
2) Include Carbon Pricing and Emissions Impact in Capital Project Evaluations- Establish internal carbon pricing methodology aligned with industry standards and climate goals, create standardized carbon calculation tools integrated into capital request templates, create training program for finance and project teams on carbon pricing application, establish process for regular review and adjustment of internal carbon price.
3) Update ROI Calculations and Modify Payback Period Requirements- Develop comprehensive valuation methodology for sustainability benefits beyond direct energy savings, establish methodology for quantifying sustainability co-benefits, develop sliding scale approval matrix based on strategic impact of decarbonization initiatives, establish governance structure for approving projects with extended payback periods.</t>
  </si>
  <si>
    <t xml:space="preserve">Companies should update their project evaluation standards and procedures to build internal capabilities through training, resources, certification, and subject matter experts because these elements create the necessary human capital foundation for successful decarbonization initiatives that otherwise would fail from lack of expertise.
Key Actions: 
1) Training Employees on sustainability topics- Develop tiered sustainability curriculum tailored to different organizational levels and functions, implement regular board and C-suite briefings on climate science, policy trends, and market developments, develop case study library showcasing successful sustainability initiatives and lessons learned.
2) Provide Resources and Tools- Develop centralized knowledge repository with methodologies, tools, and best practices, Develop standardized cost-benefit analysis templates for sustainability initiatives.
3) Develop Workforce-  Create inventory of relevant sustainability certifications, develop internal recognition program for employees obtaining sustainability credentials.
4) Designate Subject Matter Experts to Drive Strategic Initiatives- Identify and formally designate subject matter experts across key sustainability domains Implement allocation of protected time for experts to support strategic initiatives, develop cross-functional sustainability expert network with regular collaboration sessions. </t>
  </si>
  <si>
    <t>Companies should update their project evaluation standards and procedures with a focus on procurement, equipment replacement, and supply chain collaboration because these operational areas represent critical leverage points for achieving significant emissions reductions while often delivering cost savings through improved efficiency and reduced resource use.
Key Actions:
1) Engage Procurement Team- Establish formal renewable fuel procurement targets with timeline and accountability measures, implement purchasing guidelines prioritizing renewable and low-carbon fuel options, establish pilot projects to test renewable fuel alternatives in different operation. 
2)Educate and Develop Plan for Equipment Replacement- Create comprehensive inventory of energy-consuming equipment with efficiency ratings and end-of-life dates, develop database of best available technologies (BAT) for each equipment category, create proactive replacement schedule for equipment approaching end of life, develop technical specifications templates that prioritize energy efficiency and low emissions.
3) Facilitate Collaboration Between Procurement Teams and Stakeholders- Establish cross-functional renewable energy team with representation from procurement, facilities, finance, and sustainability, create renewable energy opportunity assessment, create standardized evaluation framework for different renewable energy procurement options, establish process for collaborative development of renewable energy RFPs and bid evaluations, create internal expertise center with resources on renewable energy markets and trends.
4) Engage with Supply Chain- Conduct comprehensive Scope 3 emissions inventory to identify hotspots in supply chain, develop supplier engagement strategy with tiered approach based on emissions impact and relationship, establish collaboration platform for sharing best practices among key suppliers.</t>
  </si>
  <si>
    <t>Companies should update their financial mechanisms for decarbonization because traditional capital allocation models systematically undervalue long-term climate benefits and overweigh short-term costs, effectively blocking critical emissions reduction initiatives.
Key Actions: 
1) Update ROI Calculations and Modify Payback Period Requirements- Develop comprehensive valuation methodology for sustainability benefits beyond direct energy savings, establish methodology for quantifying sustainability co-benefits, develop sliding scale approval matrix based on strategic impact of decarbonization initiatives, establish governance structure for approving projects with extended payback periods.
2) Deploy Effective Financing Mechanisms- Conduct assessment of available green financing options suitable for company profile and project pipeline, develop internal expertise on green bond frameworks and certification requirements, establish internal carbon pricing mechanism with clear application guidelines for project evaluation, Implement energy-as-a-service or efficiency-as-a-service models for appropriate project types
3) Lower Barrier to Apply for Corporate Financing- Develop streamlined application process specifically for decarbonization initiatives, create standardized templates for common decarbonization project types, establish fast-track approval process for projects below defined threshold, implement pre-approved project categories requiring minimal justification, develop dedicated budget allocation for decarbonization initiatives exempt from standard competition</t>
  </si>
  <si>
    <t>Effective communication of decarbonization efforts is crucial because it builds stakeholder trust through transparency while simultaneously creating competitive advantage in a marketplace increasingly concerned with environmental impact.
Key Action: 
1) Develop External Communication- Create a dedicated sustainability section on the company website featuring case studies of successful decarbonization initiatives, develop a quarterly sustainability newsletter for investors, customers, and partners. 
2) Develop Internal Communication- Establish an employee sustainability portal on the intranet with access to training materials on decarbonization practices, submit their own ideas for emissions reduction, highlight teams making significant contributions to sustainability goals.
3) Publicize Major Decarbonization Efforts - Engage in sustainability-focused speaking engagements at relevant industry conferences and climate action forums, develop a media kit highlighting your most innovative decarbonization initiatives.
4) Leverage Sustainability Achievements for Industry Recognition- Develop a systematic approach to sustainability awards submissions, partner with industry associations to showcase your leadership.</t>
  </si>
  <si>
    <t>Companies should consider innovative financing mechanisms for emission reduction measures because they effectively overcome capital constraints that often delay critical decarbonization projects. Internal funding options like revolving funds create self-sustaining cycles where successful initiatives generate capital for future projects, while debt, loans, and leases provide access to capital without large upfront investments. Energy Savings Performance Contracting and Efficiency-as-a-Service transfer technical risk to specialized providers who guarantee results, allowing companies to implement complex solutions without requiring in-house expertise. Green Bonds and Power Purchase Agreements tap into specialized capital markets dedicated to environmental initiatives, often at advantageous rates compared to conventional financing. Federal, state, and local funding opportunities provide tax incentives, rebates, and grants that can significantly improve project economics.</t>
  </si>
  <si>
    <t>A dedicated ERP implementation budget ensures project completion without interruptions due to funding shortages. When specific funding is allocated for key initiatives, companies can plan realistically and track ROI effectively. Proper resource allocation also reduces implementation risks and minimizes technical issues.</t>
  </si>
  <si>
    <t>Proactively identifying potential challenges before ERP implementation helps companies develop effective mitigation strategies, reducing costly disruptions and delays. Recognizing  user adoption barriers enables targeted solutions and appropriate resource allocation. Companies that anticipate challenges can also prioritize critical functionality, plan for necessary customizations, and create contingency plans.</t>
  </si>
  <si>
    <t>No additional co-benefits identified</t>
  </si>
  <si>
    <t>Organizations should catalog and categorize their facilities and processes according to their emission levels and other key characteristics visualize and prioritize decarbonization opportunities. This systematic approach helps identify common patterns and features across the portfolio, enabling more efficient scaling of successful decarbonization initiatives while minimizing disruption and avoiding decisions that could lock in future emissions.</t>
  </si>
  <si>
    <t>Scenario 1 Dummy block</t>
  </si>
  <si>
    <t>Scenario 2 Dummy block</t>
  </si>
  <si>
    <t>Score (Binary) {Scenario 1}</t>
  </si>
  <si>
    <t>Score (Binary) {Scenario 2}</t>
  </si>
  <si>
    <t>Medium - low carbon fuel</t>
  </si>
  <si>
    <t xml:space="preserve">High - low carbon fuel </t>
  </si>
  <si>
    <t>Low - low carbon fuel</t>
  </si>
  <si>
    <t>Systematically evaluating projects across different dimensions, companies can develop decarbonization roadmaps that balance immediate impact with strategic positioning, financial efficiency with operational feasibility, and ambitious goals with practical implementation realities. Understanding the precise reduction potential of each project allows companies to prioritize initiatives with the highest impact and making meaningful contributions toward their targets. Comprehensive cost-benefit analysis reveals which projects deliver the most emission reduction per dollar invested. understanding the needs of infrastructure demand helps companies anticipate potential bottlenecks and prepare necessary groundwork in advance. Projects requiring extensive downtime may need to align with scheduled maintenance periods or seasonal demand fluctuations. Companies can sequence decarbonization initiatives to minimize operational impacts while maintaining progress toward emission targets. Multiple vendor options create negotiation leverage and reduce dependency risks. Near-term projects can deliver immediate progress while foundational work proceeds on longer-term solutions. This temporal planning also allows companies to align decarbonization investments with anticipated technology improvements, potentially capturing cost reductions by timing deployments with market maturity.</t>
  </si>
  <si>
    <r>
      <t xml:space="preserve">By integrating these financing parameters into decarbonization planning, companies develop more comprehensive strategies that extend beyond technical feasibility to ensure financial viability. The interest rates and financing terms available through green bonds, climate bonds, sustainability-linked loans, and specialized equipment financing directly influence project viability. Implementing an internal cost of carbon transforms abstract climate risks into tangible financial metrics that align with corporate decision-making processes. Dedicated capital expenditure allocations and revolving sustainability funds create reliable, protected financing streams for decarbonization initiatives. These structured funding approaches ensure climate projects don't compete directly against core business investments, providing implementation certainty that spans multiple budget cycles. 
</t>
    </r>
    <r>
      <rPr>
        <b/>
        <sz val="10"/>
        <color theme="1"/>
        <rFont val="Arial"/>
        <family val="2"/>
      </rPr>
      <t xml:space="preserve">Key Actions:
</t>
    </r>
    <r>
      <rPr>
        <sz val="10"/>
        <color theme="1"/>
        <rFont val="Arial"/>
        <family val="2"/>
      </rPr>
      <t xml:space="preserve">1) </t>
    </r>
    <r>
      <rPr>
        <b/>
        <sz val="10"/>
        <color theme="1"/>
        <rFont val="Arial"/>
        <family val="2"/>
      </rPr>
      <t>Develop a Green Financing Strategy</t>
    </r>
    <r>
      <rPr>
        <sz val="10"/>
        <color theme="1"/>
        <rFont val="Arial"/>
        <family val="2"/>
      </rPr>
      <t>-  Build relationships with financial institutions offering sustainability-linked loans and green bonds and Train finance teams on how to structure projects to maximize eligibility for favorable financing.
2)</t>
    </r>
    <r>
      <rPr>
        <b/>
        <sz val="10"/>
        <color theme="1"/>
        <rFont val="Arial"/>
        <family val="2"/>
      </rPr>
      <t xml:space="preserve"> Create Dedicated Funding Mechanisms</t>
    </r>
    <r>
      <rPr>
        <sz val="10"/>
        <color theme="1"/>
        <rFont val="Arial"/>
        <family val="2"/>
      </rPr>
      <t>- Establish a revolving sustainability fund that reinvests savings from completed projects. Develop multi-year funding commitments that transcend annual budget cycles for strategic projects.
3)</t>
    </r>
    <r>
      <rPr>
        <b/>
        <sz val="10"/>
        <color theme="1"/>
        <rFont val="Arial"/>
        <family val="2"/>
      </rPr>
      <t>Establish an Internal Carbon Price-</t>
    </r>
    <r>
      <rPr>
        <sz val="10"/>
        <color theme="1"/>
        <rFont val="Arial"/>
        <family val="2"/>
      </rPr>
      <t xml:space="preserve">  If considering  internal cost of carbon- set a meaningful internal carbon price that reflects both current and anticipated future carbon costs.
4)</t>
    </r>
    <r>
      <rPr>
        <b/>
        <sz val="10"/>
        <color theme="1"/>
        <rFont val="Arial"/>
        <family val="2"/>
      </rPr>
      <t xml:space="preserve"> Integrate With Financial Planning</t>
    </r>
    <r>
      <rPr>
        <sz val="10"/>
        <color theme="1"/>
        <rFont val="Arial"/>
        <family val="2"/>
      </rPr>
      <t>- Incorporate climate risk assessment into long-term financial planning, model how different carbon price scenarios would impact company financials.</t>
    </r>
  </si>
  <si>
    <r>
      <t xml:space="preserve">Grid decarbonization timelines directly impact the emissions reduction potential of electrification initiatives. Organizations that model various grid transformation scenarios can properly time electrification investments to maximize carbon benefits while avoiding premature equipment transitions. By assessing technologies along a readiness spectrum, organizations can balance innovation with reliability, differentiating between proven solutions for immediate deployment and emerging technologies requiring pilot testing. Companies must assess current and projected availability of these resources when planning hard-to-abate emission reductions in operations like high-temperature industrial processes or heavy transport. companies must project how electrification, efficiency improvements, and production changes will reshape their energy profile over time. This analysis identifies potential constraints in utility capacity that could hinder decarbonization efforts and highlights opportunities to reduce peak demand through load shifting or storage. Companies must assess how permitting processes for new technologies or facility modifications might affect implementation schedules.
</t>
    </r>
    <r>
      <rPr>
        <b/>
        <sz val="10"/>
        <color theme="1"/>
        <rFont val="Arial"/>
        <family val="2"/>
      </rPr>
      <t xml:space="preserve">Key Actions:
</t>
    </r>
    <r>
      <rPr>
        <sz val="10"/>
        <color theme="1"/>
        <rFont val="Arial"/>
        <family val="2"/>
      </rPr>
      <t xml:space="preserve">1) </t>
    </r>
    <r>
      <rPr>
        <b/>
        <sz val="10"/>
        <color theme="1"/>
        <rFont val="Arial"/>
        <family val="2"/>
      </rPr>
      <t xml:space="preserve">Grid Transition Planning- </t>
    </r>
    <r>
      <rPr>
        <sz val="10"/>
        <color theme="1"/>
        <rFont val="Arial"/>
        <family val="2"/>
      </rPr>
      <t>Map operations against regional grid decarbonization timelines, Explore power purchase agreements to secure renewable electricity, model impacts of different grid evolution scenarios on your targets.</t>
    </r>
    <r>
      <rPr>
        <b/>
        <sz val="10"/>
        <color theme="1"/>
        <rFont val="Arial"/>
        <family val="2"/>
      </rPr>
      <t xml:space="preserve">
</t>
    </r>
    <r>
      <rPr>
        <sz val="10"/>
        <color theme="1"/>
        <rFont val="Arial"/>
        <family val="2"/>
      </rPr>
      <t>2)</t>
    </r>
    <r>
      <rPr>
        <b/>
        <sz val="10"/>
        <color theme="1"/>
        <rFont val="Arial"/>
        <family val="2"/>
      </rPr>
      <t xml:space="preserve"> Pilot Program Development-</t>
    </r>
    <r>
      <rPr>
        <sz val="10"/>
        <color theme="1"/>
        <rFont val="Arial"/>
        <family val="2"/>
      </rPr>
      <t xml:space="preserve"> Test promising technologies in controlled environments, implement structured evaluation and scaling processes, partner with technology providers to share implementation risk.
3) </t>
    </r>
    <r>
      <rPr>
        <b/>
        <sz val="10"/>
        <color theme="1"/>
        <rFont val="Arial"/>
        <family val="2"/>
      </rPr>
      <t>Alternate Energy Sourcing</t>
    </r>
    <r>
      <rPr>
        <sz val="10"/>
        <color theme="1"/>
        <rFont val="Arial"/>
        <family val="2"/>
      </rPr>
      <t>- Identify regional alternative energy infrastructure development plans, select facilities best positioned for early alternative energy adoption, develop supplier partnerships to ensure future fuel access, create transition timelines aligned with projected fuel availability.
4)</t>
    </r>
    <r>
      <rPr>
        <b/>
        <sz val="10"/>
        <color theme="1"/>
        <rFont val="Arial"/>
        <family val="2"/>
      </rPr>
      <t xml:space="preserve"> Energy Demand Management</t>
    </r>
    <r>
      <rPr>
        <sz val="10"/>
        <color theme="1"/>
        <rFont val="Arial"/>
        <family val="2"/>
      </rPr>
      <t>- Forecast future energy needs incorporating all planned initiatives, engage early with utilities on capacity requirements, evaluate on-site generation and storage options, develop load flexibility strategies to optimize renewable integration. 
5)</t>
    </r>
    <r>
      <rPr>
        <b/>
        <sz val="10"/>
        <color theme="1"/>
        <rFont val="Arial"/>
        <family val="2"/>
      </rPr>
      <t xml:space="preserve"> Regulatory Approach</t>
    </r>
    <r>
      <rPr>
        <sz val="10"/>
        <color theme="1"/>
        <rFont val="Arial"/>
        <family val="2"/>
      </rPr>
      <t>-  Create technology-specific regulatory roadmaps.
engage proactively with authorities on novel applications, establish relationships with regulators before beginning permit processes.</t>
    </r>
  </si>
  <si>
    <t>Stakeholder buy-in is important for success of an ERP.
Key Actions: 
1) Executive leadership by-in- Create a dedicated sustainability steering committee with C-suite representation to demonstrate top-level commitment.
2) Employee buy-in- implement department-specific training on how decarbonization relates to individual roles and responsibilities, establish a green champions network across departments to drive peer-to-peer engagement, celebrate and reward teams that contribute innovative emission reduction solutions.
3) Investors and customer buy-in- Develop a climate risk assessment demonstrating how decarbonization mitigates financial vulnerabilities, benchmark your sustainability performance against competitors to highlight competitive advantages, regularly report progress using established frameworks like TCFD or GRI that investors recognize and value, create case studies showing how your decarbonization efforts directly benefit customer priorities.</t>
  </si>
  <si>
    <r>
      <t xml:space="preserve">Industry Type </t>
    </r>
    <r>
      <rPr>
        <i/>
        <sz val="12"/>
        <color theme="1"/>
        <rFont val="Arial"/>
        <family val="2"/>
      </rPr>
      <t>(Choose from dropdown)</t>
    </r>
    <r>
      <rPr>
        <sz val="12"/>
        <color theme="1"/>
        <rFont val="Arial"/>
        <family val="2"/>
      </rPr>
      <t>:</t>
    </r>
  </si>
  <si>
    <t>Milestone 1</t>
  </si>
  <si>
    <t>% Total</t>
  </si>
  <si>
    <t>Task_Total</t>
  </si>
  <si>
    <t>Milestone 2</t>
  </si>
  <si>
    <t>Milestone 5</t>
  </si>
  <si>
    <t>Milestone 3</t>
  </si>
  <si>
    <t>Milestone 4</t>
  </si>
  <si>
    <t>Task2:  Establish a GHG Inventory Management Plan</t>
  </si>
  <si>
    <t>Task1: Identify and Engage Stakeholders </t>
  </si>
  <si>
    <t>Task3: Set GHG Reduction Target</t>
  </si>
  <si>
    <t>Task4: Define Evaluation Criteria</t>
  </si>
  <si>
    <t>Task1: Select characteristics of the portfolio</t>
  </si>
  <si>
    <t xml:space="preserve">Task4: Select systems for further analysis </t>
  </si>
  <si>
    <t>Task1: Facility level GHG emissions reduction assessment planning</t>
  </si>
  <si>
    <t>Task2: Portfolio level GHG emissions reduction assessment planning</t>
  </si>
  <si>
    <t>Task2: Estimate Future Business Portfolio Changes</t>
  </si>
  <si>
    <t>Task3: Review Emissions Reduction Measures</t>
  </si>
  <si>
    <t>Task4: Define Scenarios</t>
  </si>
  <si>
    <t>Task5: Evaluate Scenarios</t>
  </si>
  <si>
    <t>Task1: Assess scenarios and select pathway</t>
  </si>
  <si>
    <t>Task4: Secure Final Buy-in from Stakeholder and Release Plan</t>
  </si>
  <si>
    <t>Task2: Update Organizational Standards and Procedures</t>
  </si>
  <si>
    <t>Task3: Define financing and project deployment schedule</t>
  </si>
  <si>
    <t xml:space="preserve">Task1: Develop work plan </t>
  </si>
  <si>
    <t>Task2: Measure and verify GHG emissions reductions</t>
  </si>
  <si>
    <t>Task3: Document and share key learnings from project implementation</t>
  </si>
  <si>
    <t>Task4: Continuous evaluation of circumstances and revision of ERP</t>
  </si>
  <si>
    <t xml:space="preserve">Task2: Identify and quantify GHG emissions for SGEs </t>
  </si>
  <si>
    <t>Task3: Benchmark SGEs</t>
  </si>
  <si>
    <r>
      <rPr>
        <b/>
        <sz val="10"/>
        <color theme="1"/>
        <rFont val="Arial"/>
        <family val="2"/>
      </rPr>
      <t>Task1:</t>
    </r>
    <r>
      <rPr>
        <sz val="10"/>
        <color theme="1"/>
        <rFont val="Arial"/>
        <family val="2"/>
      </rPr>
      <t xml:space="preserve"> Establish Scenario Parameters</t>
    </r>
  </si>
  <si>
    <r>
      <t xml:space="preserve">NAICS Code </t>
    </r>
    <r>
      <rPr>
        <i/>
        <sz val="12"/>
        <color theme="1"/>
        <rFont val="Arial"/>
        <family val="2"/>
      </rPr>
      <t>(Auto generated)</t>
    </r>
  </si>
  <si>
    <t>CRITICAL TASKS NOT COMPETED IN YOUR ERP</t>
  </si>
  <si>
    <t>Target</t>
  </si>
  <si>
    <t>Actual</t>
  </si>
  <si>
    <t>Low</t>
  </si>
  <si>
    <t>Medium</t>
  </si>
  <si>
    <t>Max</t>
  </si>
  <si>
    <t>blank before target</t>
  </si>
  <si>
    <t>target line</t>
  </si>
  <si>
    <t>blank after target</t>
  </si>
  <si>
    <t>Milestone_Max</t>
  </si>
  <si>
    <t>M1:Gap</t>
  </si>
  <si>
    <t>M2:Gap</t>
  </si>
  <si>
    <t>M3:Gap</t>
  </si>
  <si>
    <t>M4:Gap</t>
  </si>
  <si>
    <t>M5:Gap</t>
  </si>
  <si>
    <t>M6:Gap</t>
  </si>
  <si>
    <r>
      <rPr>
        <b/>
        <sz val="12"/>
        <color theme="1"/>
        <rFont val="Arial"/>
        <family val="2"/>
      </rPr>
      <t xml:space="preserve">Framework for Greenhouse Gas Emissions Reduction Planning: Industrial Portfolios
</t>
    </r>
    <r>
      <rPr>
        <sz val="12"/>
        <color theme="1"/>
        <rFont val="Arial"/>
        <family val="2"/>
      </rPr>
      <t>The Framework for Greenhouse Gas Emissions Reduction Planning for Industrial Portfolios guides organizations in developing comprehensive Emissions Reduction Plans (ERPs) to address their Scope 1 and Scope 2 greenhouse gas emissions. These plans are designed to work across an organization's entire facility portfolio while providing practical, facility-specific guidance. Through the ERP development process, organizations gain the ability to thoroughly analyze their emissions sources, establish ambitious reduction targets aligned with initiatives like the DOE's Better Climate Challenge, and identify viable mitigation strategies. The framework helps organizations overcome their unique barriers by creating a phased implementation approach, enabling effective communication of their strategy both internally and externally, and establishing methods to track progress toward their emissions reduction goals.
To learn more visit: https://betterbuildingssolutioncenter.energy.gov/sites/default/files/attachments/ERP_Framework_Industrial_Portfolios.pdf</t>
    </r>
  </si>
  <si>
    <t>Cost, financing, technology readiness and other parameters can effect decarbonization scenarios.  Not all technically possible pathways are financially viable for a specific company. Cost constraints, financing cycles, and technology maturity dictate when different initiatives can realistically be implemented. Understanding these factors helps identify potential vulnerabilities in decarbonization strategies. Companies that effectively navigate these parameters can achieve cost-effective decarbonization while maintaining or enhancing market position.
Key Actions:</t>
  </si>
  <si>
    <r>
      <rPr>
        <sz val="12"/>
        <color theme="0"/>
        <rFont val="Aptos Narrow"/>
        <family val="2"/>
      </rPr>
      <t>▪</t>
    </r>
    <r>
      <rPr>
        <sz val="12"/>
        <color theme="0"/>
        <rFont val="Arial"/>
        <family val="2"/>
      </rPr>
      <t xml:space="preserve"> Cost Evaluation- Conduct sensitivity analysis to understand how different carbon price scenarios affect ROI for various pathways, identify and quantify co-benefits (water savings, waste reduction, productivity improvements) to capture full value, create a marginal abatement cost curve (MACC) to prioritize initiatives by cost-effectiveness, establish regular review cycles to reassess costs as technologies mature and economies of scale emerge.</t>
    </r>
  </si>
  <si>
    <t>▪ Financing Strategy- Assess eligibility for government incentives, grants, and tax benefits for climate initiatives, Develop an internal carbon pricing mechanism to create funding for emissions reduction projects, structure innovative financing approaches like energy-as-a-service or pay-for-performance models.</t>
  </si>
  <si>
    <t>▪Technology Assessment- Establish partnerships with technology providers, research institutions, and startups in relevant fields, allocate resources for technology monitoring and horizon scanning to identify breakthrough opportunities, participate in industry consortiums focused on developing and commercializing critical decarbonization technologies.</t>
  </si>
  <si>
    <t>Planning for business changes during ERP development can help make the plan more robust. Acquisitions and divestments dramatically alter a company's emissions profile. Emission strategies must anticipate how these changes affect overall targets and build flexibility to maintain decarbonization momentum despite portfolio shifts. Growth-oriented companies must account for how capacity expansions will increase their carbon footprint, potentially requiring more aggressive reduction measures elsewhere. Shifts in product mix, whether strategic or market-driven, substantially affect a company's emissions profile. Companies expanding in different market, need emission scenarios that account for regional differences in renewable energy availability, carbon pricing, and sustainability expectations. Renovations and new construction represent critical intervention points for emission reductions. Incorporating low-carbon technologies during planned facility changes is more cost-effective than retrofitting. 
Key Actions:</t>
  </si>
  <si>
    <t>▪Portfolio Management Action- Develop a process for evaluating emissions impact of potential acquisitions and divestments, create an emissions integration plan for newly acquired businesses.</t>
  </si>
  <si>
    <t>▪Production Capacity Planning- Implement a carbon impact assessment for all capacity expansion projects, develop intensity-based metrics that complement absolute emissions targets to account for growth, establish regular reconciliation between production planning and emissions reduction roadmaps.</t>
  </si>
  <si>
    <t>▪Market Expansion Strategy Actions- Create an opportunity map that identifies favorable regions for low-carbon operations, develop market-specific decarbonization playbooks that account for local energy infrastructure, build relationships with regional renewable energy providers in advance of market entry.</t>
  </si>
  <si>
    <t>▪Facility Planning- Develop a facilities decarbonization roadmap aligned with renovation and replacement cycles, create design standards for new facilities that incorporate best-available low-carbon technologies, establish a carbon lock-in assessment for all major infrastructure decisions.</t>
  </si>
  <si>
    <t>By integrating these financing parameters into decarbonization planning, companies develop more comprehensive strategies that extend beyond technical feasibility to ensure financial viability. The interest rates and financing terms available through green bonds, climate bonds, sustainability-linked loans, and specialized equipment financing directly influence project viability. Implementing an internal cost of carbon transforms abstract climate risks into tangible financial metrics that align with corporate decision-making processes. Dedicated capital expenditure allocations and revolving sustainability funds create reliable, protected financing streams for decarbonization initiatives. These structured funding approaches ensure climate projects don't compete directly against core business investments, providing implementation certainty that spans multiple budget cycles. 
Key Actions:</t>
  </si>
  <si>
    <t>▪Develop a Green Financing Strategy-  Build relationships with financial institutions offering sustainability-linked loans and green bonds and Train finance teams on how to structure projects to maximize eligibility for favorable financing</t>
  </si>
  <si>
    <t>▪Establish an Internal Carbon Price-  If considering  internal cost of carbon- set a meaningful internal carbon price that reflects both current and anticipated future carbon costs</t>
  </si>
  <si>
    <t>▪Create Dedicated Funding Mechanisms- Establish a revolving sustainability fund that reinvests savings from completed projects. Develop multi-year funding commitments that transcend annual budget cycles for strategic projects</t>
  </si>
  <si>
    <t>Grid decarbonization timelines directly impact the emissions reduction potential of electrification initiatives. Organizations that model various grid transformation scenarios can properly time electrification investments to maximize carbon benefits while avoiding premature equipment transitions. By assessing technologies along a readiness spectrum, organizations can balance innovation with reliability, differentiating between proven solutions for immediate deployment and emerging technologies requiring pilot testing. Companies must assess current and projected availability of these resources when planning hard-to-abate emission reductions in operations like high-temperature industrial processes or heavy transport. companies must project how electrification, efficiency improvements, and production changes will reshape their energy profile over time. This analysis identifies potential constraints in utility capacity that could hinder decarbonization efforts and highlights opportunities to reduce peak demand through load shifting or storage. Companies must assess how permitting processes for new technologies or facility modifications might affect implementation schedules.
Key Actions:</t>
  </si>
  <si>
    <t>▪Grid Transition Planning- Map operations against regional grid decarbonization timelines, Explore power purchase agreements to secure renewable electricity, model impacts of different grid evolution scenarios on your targets.</t>
  </si>
  <si>
    <t>▪Pilot Program Development- Test promising technologies in controlled environments, implement structured evaluation and scaling processes, partner with technology providers to share implementation risk.</t>
  </si>
  <si>
    <t>▪Alternate Energy Sourcing- Identify regional alternative energy infrastructure development plans, select facilities best positioned for early alternative energy adoption, develop supplier partnerships to ensure future fuel access, create transition timelines aligned with projected fuel availability.</t>
  </si>
  <si>
    <t xml:space="preserve">▪Energy Demand Management- Forecast future energy needs incorporating all planned initiatives, engage early with utilities on capacity requirements, evaluate on-site generation and storage options, develop load flexibility strategies to optimize renewable integration. </t>
  </si>
  <si>
    <t>▪Regulatory Approach-  Create technology-specific regulatory roadmaps engage proactively with authorities on novel applications, establish relationships with regulators before beginning permit processes.</t>
  </si>
  <si>
    <t xml:space="preserve">Company should ensure their reduction planning accounts for the full complexity of energy efficiency impacts, process change effects, and regional grid variations.
Key Actions: </t>
  </si>
  <si>
    <t>▪Energy Efficiency Impact Assessment- Develop models to quantify both direct and indirect emission reductions from efficiency projects.</t>
  </si>
  <si>
    <t>▪Process Change Analysis-  Develop KPIs that capture system-wide emission and sustainability impacts rather than isolated process metrics, establish cross-functional review teams to identify unintended emission consequences.</t>
  </si>
  <si>
    <t>▪Location-Specific Electrification Strategy- Prioritize electrification projects based on current and forecasted grid carbon intensity, establish partnerships with local utilities to access grid transition planning information, create location-specific electrification roadmaps with optimal timing based on grid greening trajectories.</t>
  </si>
  <si>
    <t xml:space="preserve">Companies that strengthen their sustainability governance achieve better operational resilience, increased investor confidence, and improved long-term value creation.
Key Actions: </t>
  </si>
  <si>
    <t>Companies that strengthen their operation and maintenance standard achieve better operational resilience, prevent equipment failures to minimize operational disruption. 
Key Actions:</t>
  </si>
  <si>
    <r>
      <rPr>
        <sz val="12"/>
        <color theme="0"/>
        <rFont val="Aptos Narrow"/>
        <family val="2"/>
      </rPr>
      <t>▪</t>
    </r>
    <r>
      <rPr>
        <sz val="12"/>
        <color theme="0"/>
        <rFont val="Arial"/>
        <family val="2"/>
      </rPr>
      <t>Develop Sustainability Teams- Establish a cross-functional sustainability team with clear roles, responsibilities, and authority, develop policy defining sustainability team's role, decision-making authority, and reporting structure, allocate dedicated budget and resources for sustainability team operations, implement regular training and upskilling program for team members, create formalized coordination mechanisms between sustainability team and other departments (finance, operations, procurement, etc.).</t>
    </r>
  </si>
  <si>
    <t>▪Implement Employee Recognition Programs- Develop formal sustainability recognition program with defined criteria for employee contributions, incorporate sustainability metrics into performance review processes across all departments, create sustainability awards program with meaningful visibility and rewards, establish communication channels to highlight employee sustainability accomplishments.</t>
  </si>
  <si>
    <t>▪Climate and Financial Risk Assessment Processes- Develop standardized methodology for identifying and quantifying climate-related risks, create a climate risk register integrated with enterprise risk management systems, establish regular climate scenario analysis procedures aligned with TCFD recommendations, implement systems to track financial implications of climate risks and opportunities, develop board-level reporting procedures for climate-related financial risks.</t>
  </si>
  <si>
    <t>▪Implement Public Sustainability Reporting- Select appropriate reporting frameworks (CDP, TCFD, SASB, GRI) aligned with company needs.</t>
  </si>
  <si>
    <t>▪Develop Preventive Maintenance Plan- Conduct comprehensive inventory and condition assessment of all critical equipment and systems, implement digital asset management system to track equipment specifications, maintenance history, and performance data, establish risk-based prioritization methodology for maintenance activities based on equipment criticality, condition, and performance impact, implement predictive maintenance technologies (vibration analysis, thermography, oil analysis) for critical equipment.</t>
  </si>
  <si>
    <t>▪Provide Training to Employees on Operation and Maintenance of New Technology- Develop comprehensive training curriculum covering both technical operations and energy efficiency best practices, implement digital training platforms with equipment-specific tutorials and troubleshooting guides, establish vendor partnerships for specialized training on proprietary equipment and systems, implement knowledge management system to capture institutional knowledge and best practices.</t>
  </si>
  <si>
    <t xml:space="preserve">▪Conduct  Leak Monitoring Program- Develop comprehensive leak detection protocol covering compressed air, steam, refrigerants, and process fluids, acquire appropriate leak detection equipment (ultrasonic detectors, thermal cameras, gas analyzers), establish regular leak detection survey schedule with defined scope and frequency, develop leak repair prioritization methodology based on energy/resource loss and repair complexity, develop employee awareness program to encourage leak reporting. </t>
  </si>
  <si>
    <t>▪Keep Record of Building Upgrades and Equipment Replacement- Implement centralized asset lifecycle management system integrating with maintenance records, create standardized documentation requirements for all equipment replacements and upgrades, develop replacement planning framework that incorporates energy efficiency opportunities.</t>
  </si>
  <si>
    <t xml:space="preserve">Updating project evaluation standards and procedures is crucial for companies as it ensures investment decisions properly account for sustainability factors like carbon emissions and energy efficiency, which increasingly impact financial performance and regulatory compliance.
Key Action: </t>
  </si>
  <si>
    <t xml:space="preserve">▪Conduct Periodic Energy and Decarbonization Assessments- Establish standardized energy assessment protocol with defined scope, frequency, and methodology, develop centralized tracking system for ERMs listed out in the assessments, implement regular energy treasure hunt program involving cross-functional teams to identify opportunities, implement decarbonization opportunity register to track and prioritize identified initiatives, integrate assessment findings and capital planning process. </t>
  </si>
  <si>
    <t>▪Include Carbon Pricing and Emissions Impact in Capital Project Evaluations- Establish internal carbon pricing methodology aligned with industry standards and climate goals, create standardized carbon calculation tools integrated into capital request templates, create training program for finance and project teams on carbon pricing application, establish process for regular review and adjustment of internal carbon price.</t>
  </si>
  <si>
    <t>▪Update ROI Calculations and Modify Payback Period Requirements- Develop comprehensive valuation methodology for sustainability benefits beyond direct energy savings, establish methodology for quantifying sustainability co-benefits, develop sliding scale approval matrix based on strategic impact of decarbonization initiatives, establish governance structure for approving projects with extended payback periods.</t>
  </si>
  <si>
    <t xml:space="preserve">Companies should update their project evaluation standards and procedures to build internal capabilities through training, resources, certification, and subject matter experts because these elements create the necessary human capital foundation for successful decarbonization initiatives that otherwise would fail from lack of expertise.
Key Actions: </t>
  </si>
  <si>
    <t>Companies should update their project evaluation standards and procedures with a focus on procurement, equipment replacement, and supply chain collaboration because these operational areas represent critical leverage points for achieving significant emissions reductions while often delivering cost savings through improved efficiency and reduced resource use.
Key Actions:</t>
  </si>
  <si>
    <t>Companies should update their financial mechanisms for decarbonization because traditional capital allocation models systematically undervalue long-term climate benefits and overweigh short-term costs, effectively blocking critical emissions reduction initiatives.
Key Actions:</t>
  </si>
  <si>
    <t xml:space="preserve">Effective communication of decarbonization efforts is crucial because it builds stakeholder trust through transparency while simultaneously creating competitive advantage in a marketplace increasingly concerned with environmental impact.
Key Action: </t>
  </si>
  <si>
    <t>▪Training Employees on sustainability topics- Develop tiered sustainability curriculum tailored to different organizational levels and functions, implement regular board and C-suite briefings on climate science, policy trends, and market developments, develop case study library showcasing successful sustainability initiatives and lessons learned.</t>
  </si>
  <si>
    <t>▪Provide Resources and Tools- Develop centralized knowledge repository with methodologies, tools, and best practices, Develop standardized cost-benefit analysis templates for sustainability initiatives.</t>
  </si>
  <si>
    <t>▪Develop Workforce-  Create inventory of relevant sustainability certifications, develop internal recognition program for employees obtaining sustainability credentials.</t>
  </si>
  <si>
    <t>▪Designate Subject Matter Experts to Drive Strategic Initiatives- Identify and formally designate subject matter experts across key sustainability domains Implement allocation of protected time for experts to support strategic initiatives, develop cross-functional sustainability expert network with regular collaboration sessions.</t>
  </si>
  <si>
    <t xml:space="preserve">▪Engage Procurement Team- Establish formal renewable fuel procurement targets with timeline and accountability measures, implement purchasing guidelines prioritizing renewable and low-carbon fuel options, establish pilot projects to test renewable fuel alternatives in different operation. </t>
  </si>
  <si>
    <t>▪Educate and Develop Plan for Equipment Replacement- Create comprehensive inventory of energy-consuming equipment with efficiency ratings and end-of-life dates, develop database of best available technologies (BAT) for each equipment category, create proactive replacement schedule for equipment approaching end of life, develop technical specifications templates that prioritize energy efficiency and low emissions.</t>
  </si>
  <si>
    <t>▪Facilitate Collaboration Between Procurement Teams and Stakeholders- Establish cross-functional renewable energy team with representation from procurement, facilities, finance, and sustainability, create renewable energy opportunity assessment, create standardized evaluation framework for different renewable energy procurement options, establish process for collaborative development of renewable energy RFPs and bid evaluations, create internal expertise center with resources on renewable energy markets and trends.</t>
  </si>
  <si>
    <t>▪Engage with Supply Chain- Conduct comprehensive Scope 3 emissions inventory to identify hotspots in supply chain, develop supplier engagement strategy with tiered approach based on emissions impact and relationship, establish collaboration platform for sharing best practices among key suppliers.</t>
  </si>
  <si>
    <t>▪Deploy Effective Financing Mechanisms- Conduct assessment of available green financing options suitable for company profile and project pipeline, develop internal expertise on green bond frameworks and certification requirements, establish internal carbon pricing mechanism with clear application guidelines for project evaluation, Implement energy-as-a-service or efficiency-as-a-service models for appropriate project types.</t>
  </si>
  <si>
    <t>▪Lower Barrier to Apply for Corporate Financing- Develop streamlined application process specifically for decarbonization initiatives, create standardized templates for common decarbonization project types, establish fast-track approval process for projects below defined threshold, implement pre-approved project categories requiring minimal justification, develop dedicated budget allocation for decarbonization initiatives exempt from standard competition.</t>
  </si>
  <si>
    <t xml:space="preserve">▪Develop External Communication- Create a dedicated sustainability section on the company website featuring case studies of successful decarbonization initiatives, develop a quarterly sustainability newsletter for investors, customers, and partners. </t>
  </si>
  <si>
    <t>▪Develop Internal Communication- Establish an employee sustainability portal on the intranet with access to training materials on decarbonization practices, submit their own ideas for emissions reduction, highlight teams making significant contributions to sustainability goals.</t>
  </si>
  <si>
    <t>▪Publicize Major Decarbonization Efforts - Engage in sustainability-focused speaking engagements at relevant industry conferences and climate action forums, develop a media kit highlighting your most innovative decarbonization initiatives.</t>
  </si>
  <si>
    <t>▪Leverage Sustainability Achievements for Industry Recognition- Develop a systematic approach to sustainability awards submissions, partner with industry associations to showcase your leadership.</t>
  </si>
  <si>
    <t>No, we are not planning on assessing infrastructure needed for electrification ERMs</t>
  </si>
  <si>
    <t>Total Reduction (%)</t>
  </si>
  <si>
    <t>Baseline</t>
  </si>
  <si>
    <t>Gap total</t>
  </si>
  <si>
    <t>ERP total</t>
  </si>
  <si>
    <t>Start Year Helper Column</t>
  </si>
  <si>
    <t>End Year Helper Column</t>
  </si>
  <si>
    <t>.</t>
  </si>
  <si>
    <t>Total</t>
  </si>
  <si>
    <r>
      <t xml:space="preserve">Define your emissions reductions goal </t>
    </r>
    <r>
      <rPr>
        <i/>
        <sz val="14"/>
        <color theme="0" tint="-0.499984740745262"/>
        <rFont val="Arial"/>
        <family val="2"/>
      </rPr>
      <t>(Type in your answer)</t>
    </r>
  </si>
  <si>
    <t>Starting year (yyyy)</t>
  </si>
  <si>
    <t>Target Year (yyyy)</t>
  </si>
  <si>
    <t xml:space="preserve">Energy storage, grid resiliency and interactivity </t>
  </si>
  <si>
    <t>Decarbonization Pathways</t>
  </si>
  <si>
    <t>Fugitive, Mobile and process emission reduction</t>
  </si>
  <si>
    <t>Publicly reported GHG targets provide transparency, accountability, and credibility to emissions reduction efforts. Tragets help organizations accurately measure and quantify emissions reductions. Setting ambitious GHG emissions targets  help increase support from senior management and secure funding for internal GHG reduction opportunities.</t>
  </si>
  <si>
    <t>OPTIMAL OR STRENGTH</t>
  </si>
  <si>
    <t xml:space="preserve">Yes, we have evaluated for our largest/high priority sites </t>
  </si>
  <si>
    <t xml:space="preserve">Yes, we have evaluated only for our largest/ high priority sites </t>
  </si>
  <si>
    <t xml:space="preserve">Yes, but only at facilities that have taken the initiative to identify low-carbon fuel switching ERMs </t>
  </si>
  <si>
    <t>TASKS THAT ARE COMPLETED TO SATISFACTION</t>
  </si>
  <si>
    <t>Operations and maintenance standards and procedures</t>
  </si>
  <si>
    <t>Broadening capital financing request (ERMs with payback period greater than 2-3yrs)</t>
  </si>
  <si>
    <t>Secure final buy-in from stakeholder and release plan</t>
  </si>
  <si>
    <t>Update organizational standards and procedures</t>
  </si>
  <si>
    <t>Establish scenario parameters</t>
  </si>
  <si>
    <t>Estimate future business portfolio changes</t>
  </si>
  <si>
    <t>Review emissions reduction measures</t>
  </si>
  <si>
    <t>Define scenarios</t>
  </si>
  <si>
    <t>Evaluate scenarios</t>
  </si>
  <si>
    <t>Identify and engage stakeholders </t>
  </si>
  <si>
    <t xml:space="preserve"> Establish a GHG inventory management plan</t>
  </si>
  <si>
    <t>Set GHG reduction target</t>
  </si>
  <si>
    <t>Define evaluation criteria</t>
  </si>
  <si>
    <t>Resources</t>
  </si>
  <si>
    <t>Milestone</t>
  </si>
  <si>
    <t>Website URL</t>
  </si>
  <si>
    <t>Resource Description</t>
  </si>
  <si>
    <t>PDF link</t>
  </si>
  <si>
    <t>The GHG Protocol Corporate Accounting and Reporting Standard provides requirements and guidance for companies and other organizations preparing a corporate-level GHG emissions inventory.</t>
  </si>
  <si>
    <t xml:space="preserve">This document presents guidance for calculating scope 1 direct GHG emissions resulting from stationary combustion of fuels at owned or leased sources that are within an organization’s inventory boundary. This guidance applies to all organizations whose operations involve stationary combustion of fuel. </t>
  </si>
  <si>
    <t>The GRI Standards represent global best practice for reporting publicly on a range of economic, environmental and social impacts. Sustainability reporting based on the Standards provides information about an organization’s positive or negative contributions to sustainable development.</t>
  </si>
  <si>
    <t>Task 2:  Establish a GHG inventory management plan</t>
  </si>
  <si>
    <t>Task 2.1: GHG Protocol Corporate standard</t>
  </si>
  <si>
    <t xml:space="preserve">Task 2.2: Direct Emissions from Stationary Combustion Sources </t>
  </si>
  <si>
    <t>Task 2.2: Direct Emissions from Mobile Combustion Source</t>
  </si>
  <si>
    <t xml:space="preserve">Task 2.2: Direct Fugitive Emissions from Refrigeration, Air Conditioning, Fire Suppression, and Industrial Gases  </t>
  </si>
  <si>
    <t>Task 2.2: Indirect Emissions from Purchased Electricity</t>
  </si>
  <si>
    <t>Task 2.3: GRI 305: Emissions 2016</t>
  </si>
  <si>
    <t>Task 3: Set GHG reduction target</t>
  </si>
  <si>
    <t>Task 3.2: SBTi Corporate Net Zero Standard</t>
  </si>
  <si>
    <t>Task 3.3: Climate Group RE100</t>
  </si>
  <si>
    <t xml:space="preserve">Task 3.4: Energy Intensity Baselining and Tracking Guidance </t>
  </si>
  <si>
    <t>The SBTi’s Corporate Net-Zero Standard provides the guidance and tools companies need to set science-based net-zero targets. The SBTi’s Corporate Net-Zero Standard is the world’s only framework for corporate net-zero target setting in line with climate science. It includes the guidance, criteria, and recommendations companies need to set science-based net-zero targets consistent with limiting global temperature rise to 1.5°C.</t>
  </si>
  <si>
    <t>RE100 is a global initiative bringing together the world’s most influential businesses committed to using 100% renewable electricity in their operations.</t>
  </si>
  <si>
    <t>The Energy Intensity Baselining and Tracking Guidance for the Better Buildings, Better Plants Program helps companies meet the program’s reporting requirements by describing the steps necessary to develop an energy consumption and energy intensity baseline and to calculate consumption and intensity changes over time.</t>
  </si>
  <si>
    <t>This guide outlines how to evaluate and set supplier engagement targets, implement related initiatives and ensure companies fully understand what it takes to achieve these goals</t>
  </si>
  <si>
    <t>Task 2.2: ISO 50001 Energy Management</t>
  </si>
  <si>
    <t>This guide helps in identifying your organization's Significant Energy Uses (SEUs) by evaluating energy consumption patterns and improvement opportunities to focus limited resources on energy systems that have substantial energy consumption and/or considerable potential for performance improvement.</t>
  </si>
  <si>
    <t xml:space="preserve">Task 3: Benchmark Significant Greenhouse Gas Emitters (SGEs) </t>
  </si>
  <si>
    <t>Thumbnail EPI Benchmarking Guide Benchmarking Industrial Energy Performance explains and visualizes energy benchmarking and how to benchmark plant performance with ENERGY STAR Energy Performance Indicators (EPIs). It depicts how EPIs are created and the value a company receives when comparing the energy performance of its plants to plants in its industry with similar characteristics.</t>
  </si>
  <si>
    <t>The Energy Management System implementation methodology presented delivers measurable improvements in energy efficiency, reduces greenhouse gas emissions, and generates cost savings through practical, sustainable approaches that organizations can readily maintain over time.</t>
  </si>
  <si>
    <t xml:space="preserve">Task 4: Select systems for further analysis </t>
  </si>
  <si>
    <t>Task 3.1: Benchmarking Industrial Energy Performance</t>
  </si>
  <si>
    <t>Task 3.2: Raytheon Technologies Energy Management Guidebook</t>
  </si>
  <si>
    <t>Task 4.1: Pathways to Commercial Liftoff</t>
  </si>
  <si>
    <t xml:space="preserve">Liftoff report details the key fact base to map out the path to commercial liftoff for a single technology (e.g., advanced nuclear) or suite of technologies targeted at a single sector (e.g., decarbonizing chemicals and refining). Across reports, the components of this fact base include: overview, current state of technologies and markets, pathway to liftoff, challenges to liftoff and potential solutions, and metrics to track progress. </t>
  </si>
  <si>
    <t>Task 1.1: Energy Efficiency Measures</t>
  </si>
  <si>
    <t>Task 1.2: Leveraging Electrification</t>
  </si>
  <si>
    <t>Task 1.2: Electrification Working Group</t>
  </si>
  <si>
    <t>Task 1.4: Utility Engagement Playbook for Industrial Customers</t>
  </si>
  <si>
    <t>Task 1.5: Low-Emission Alternatives to Industrial Thermal Loads</t>
  </si>
  <si>
    <t>Task 1.7: Case Study Webinar Recording: AstraZeneca &amp; Vanguard Renewables U.S. RNG Agreement</t>
  </si>
  <si>
    <t>Task 1.8: Portfolio Screening and Prioritization for Onsite Energy</t>
  </si>
  <si>
    <t>Task 1.9: Carbon Capture, Utilisation and Storage</t>
  </si>
  <si>
    <t>Task 1.10: Transitioning to Low-GWP Alternatives</t>
  </si>
  <si>
    <t>Task 1.10: Best Practices for Replacing HFCs with Low-GWP Refrigerants</t>
  </si>
  <si>
    <t>Task 1.11: Pathways to Commercial Liftoff</t>
  </si>
  <si>
    <t>Task 1.12: Better Plants Trainings</t>
  </si>
  <si>
    <t>Integrating electrification on the path to efficiency can eliminate direct emissions for both commercial buildings and industrial facilities. Energy generated by electric alternatives can leads to immediate emissions reductions and a more resilient portfolio.</t>
  </si>
  <si>
    <t xml:space="preserve">Utilizing highly efficient technologies to augment or control building and facility systems is a cost-effective solution to accomplish efficiency measures. </t>
  </si>
  <si>
    <t>The Portfolio-level Electrification Better Climate Challenge working group facilitates knowledge sharing of facility electrification strategies, implementation techniques, lessons learned, and cost-benefit analyses across building portfolios through cohort-based technical sessions supported by DOE experts.</t>
  </si>
  <si>
    <t>The Utility Engagement Playbook for Industrial Customers: Addressing Power Sector Barriers to Electrification, prepared for the RTC by Synapse Energy Economics and the World Wildlife Fund, provides a comprehensive roadmap industrial companies can use to overcome electrification barriers by engaging utilities and policymakers.</t>
  </si>
  <si>
    <t>Task 1: Facility level GHG emissions reduction assessment planning</t>
  </si>
  <si>
    <t>This fact sheet provides a comprehensive framework for organizations to screen and prioritize facilities across their portfolio for onsite energy projects using qualitative criteria, data modeling tools, and technology-specific indicators to identify the most promising investment opportunities for detailed feasibility analysis.</t>
  </si>
  <si>
    <t>The "Low-Emission Alternatives to Industrial Thermal Loads" working group fosters collaboration among partners to explore, discuss, and accelerate innovative low-emission technologies (like energy efficiency, electrification, low-carbon fuels, and carbon capture) for decarbonizing industrial thermal processes.</t>
  </si>
  <si>
    <t>Carbon Capture, Utilisation, and Storage (CCUS) is a critical technology for reducing emissions from industrial and power sectors, enabling low-carbon hydrogen production, and removing CO2 from the atmosphere to support clean energy transitions</t>
  </si>
  <si>
    <t>This resource provides an overview of strategies and technologies for transitioning from high-GWP hydrofluorocarbons (HFCs) to low-GWP refrigerants. It includes discussions on the environmental benefits, technical challenges, and best practices for implementing low-GWP refrigerants in various applications, such as space conditioning, water heating, and commercial refrigeration</t>
  </si>
  <si>
    <t>This resource provides detailed information on alternative refrigerants with low global warming potential (GWP) to replace high-GWP hydrofluorocarbons (HFCs) in residential and commercial air conditioning systems, including chillers. It highlights the environmental impact of HFCs, which are potent greenhouse gases, and discusses the increasing availability of low-GWP alternatives</t>
  </si>
  <si>
    <t>Task 2.1: Technology Focus Area</t>
  </si>
  <si>
    <t xml:space="preserve">Task 2.2: Renewable Energy </t>
  </si>
  <si>
    <t>Task 2.5: Combined Heat and Power (CHP) Deployment Resources</t>
  </si>
  <si>
    <t>Task 2.4:Alternative Fuel Data Center</t>
  </si>
  <si>
    <t>Task 2.5: Demand Response in Industrial Facilities: Peak Electric Demand</t>
  </si>
  <si>
    <t>Task 2.6: Industrial Technology Validation Program</t>
  </si>
  <si>
    <t>Task 2: Portfolio level GHG emissions reduction assessment planning</t>
  </si>
  <si>
    <t>This link provides resources to help organizations incorporate renewable energy solutions like solar and wind to enhance sustainability and grid resiliency on site.</t>
  </si>
  <si>
    <t>This link provides valuable tools, guides, and resources to help manufacturers and wastewater treatment agencies achieve ambitious energy, water, waste, and emissions reduction goals.</t>
  </si>
  <si>
    <t>This resource outlines various training programs offered by the U.S. Department of Energy to help participants identify and implement energy-saving projects and best practices in their facilities.</t>
  </si>
  <si>
    <t>The Alternative Fuels Data Center (AFDC) provides information, data, and tools to help fleets, fuel providers, policymakers, cities, states, Clean Cities and Communities coalitions, and other transportation decision makers find ways to reach their energy, environmental, and economic goals through the use of alternative and renewable fuels, advanced vehicles, and other fuel-saving strategies.</t>
  </si>
  <si>
    <t>This resource provides comprehensive guidance on how industrial facilities can participate in demand response programs. It covers strategies for managing peak electrical demand, optimizing energy usage, and improving overall energy efficiency. The document also includes case studies, best practices, and technical recommendations to help facilities implement effective demand response measures and achieve significant cost savings and sustainability benefits.</t>
  </si>
  <si>
    <t>This link provides a comprehensive collection of resources to support the deployment of CHP systems. These resources include detailed databases of CHP installations, fact sheets on various CHP technologies and market sectors, reports on the benefits and market potential of CHP, and webinars and presentations that provide insights into best practices and case studies. The page also features the Packaged CHP eCatalog, a searchable database of commercially available CHP systems recognized by the DOE for their performance standards</t>
  </si>
  <si>
    <t>This resource details how the U.S. Department of Energy's Industrial Efficiency &amp; Decarbonization Office assesses the performance of emerging technologies in industrial environments to accelerate their adoption, optimize processes, and enhance competitiveness</t>
  </si>
  <si>
    <t>Milestone 4: Establish scenario parameters</t>
  </si>
  <si>
    <t>Task 1: Establish scenario parameters</t>
  </si>
  <si>
    <t>Task 1.1: Industrial Decarbonization Roadmap</t>
  </si>
  <si>
    <t>Task 1.2: TCFD Climate Scenario Analysis</t>
  </si>
  <si>
    <t>Task 1.2: TCFD Recommendations</t>
  </si>
  <si>
    <t>This resource outlines strategies to achieve net-zero greenhouse gas emissions in the industrial sector by 2050. It identifies key pathways for reducing emissions through innovation in manufacturing processes, focusing on energy efficiency, industrial electrification, low-carbon fuels, and carbon capture technologies</t>
  </si>
  <si>
    <t>This link provides detailed guidance on how organizations can use climate scenario analysis to assess and disclose climate-related risks and opportunities in line with the Task Force on Climate-related Financial Disclosures (TCFD) recommendations</t>
  </si>
  <si>
    <t>This guide outlines voluntary guidelines for organizations to disclose climate-related financial risks and opportunities. These recommendations are structured around four key areas: governance, strategy, risk management, and metrics and targets</t>
  </si>
  <si>
    <t>• Your company's robust Greenhouse Gas Inventory Management Plan demonstrates commitment to data integrity and transparency, creating a foundation for your emission reduction strategy. The tracking systems you've implemented across all emission sources, coupled with rigorous verification protocols, provide the reliable metrics needed to set meaningful targets and measure genuine progress toward your sustainability goals.</t>
  </si>
  <si>
    <t>• Your company's ambitious greenhouse gas reduction targets demonstrate  leadership  within your industry peers. Your goal demonstrates strategic foresight in positioning your business for success in a low-carbon future.</t>
  </si>
  <si>
    <t>• Your company's strategic approach to prioritizing energy projects based on carefully selected characteristics demonstrates an understanding of how to maximize both environmental impact and business value.</t>
  </si>
  <si>
    <t>• Your company's meticulous identification and quantification of significant greenhouse gas emission sources demonstrates commitment to data-driven sustainability planning. By thoroughly mapping your emission landscape across all operational processes, you've established the critical foundation needed to develop targeted, high-impact reduction strategies that address your organization's unique environmental footprint.</t>
  </si>
  <si>
    <t>• Your company's benchmarking efforts against industry peers and similar facilities demonstrate commitment to performance excellence and continuous improvement in emissions management. By analyzing how your operations compare to industry standards, you've gained valuable insights that not only identify specific opportunities for emission reductions but also establish realistic yet ambitious targets within in your sector.</t>
  </si>
  <si>
    <t xml:space="preserve">• Your company's comprehensive approach to emission reduction demonstrates thoroughness, from detailed facility-level assessments to the identification of diverse mitigation strategies spanning energy efficiency, electrification, and fuel-switching initiatives. By conducting the necessary infrastructure upgrade evaluations and exploring on-site renewable energy opportunities, you've created a holistic emission reduction plan that addresses both immediate improvements and long-term sustainability transformation, positioning your organization on path to achieve your goal. </t>
  </si>
  <si>
    <t>• Your company's portfolio-level greenhouse gas assessment demonstrates strategic vision, successfully identifying large-scale renewable energy procurement opportunities that will significantly advance your sustainability goals. By complementing these power purchase agreements with cross-functional operational efficiencies across facilities, you've created a comprehensive emission reduction plan that balances transformative external partnerships with internal process improvements, maximizing both environmental impact and business value.</t>
  </si>
  <si>
    <t xml:space="preserve"> Greenhouse gas (GHG) emissions are produced by mobile sources as fuels are burned. Carbon dioxide (CO2), methane (CH4), and nitrous oxide (N2O) are emitted directly through the combustion of fuels in different types of mobile equipment. This includes on-road vehicles such as cars, trucks and buses, and non-road vehicles such as aircraft, ships and boats, locomotives, forklifts, and construction or agricultural equipment. This guidance helps to evaluate direct mobile emissions.</t>
  </si>
  <si>
    <t>An important category of scope 1 direct greenhouse gas (GHG) are fugitive emissions, which result from the direct release to the atmosphere of GHG compounds from various types of equipment and processes. This guidance document focuses on several fugitive emissions sources that are common for organizations in many sectors: refrigeration and air conditioning systems, fire suppression systems, and the purchase and release of industrial gases. This guidance helps evaluate those fugitive emissions</t>
  </si>
  <si>
    <t>Indirect emissions are those that result from an organization’s activities but are actually emitted from sources owned by other entities. Scope 2 emissions are indirect emissions that occur through the use of purchased electricity, steam, heat, or cooling. Steam, heat (in the form of hot water), and cooling (in the form of chilled water) can be delivered to an organization’s facilities through a localized grid called a district energy system or through a direct line connection. This guidance helps evaluate those emissions.</t>
  </si>
  <si>
    <t>Financing scenarios are still being identified and evaluated to fund ERP</t>
  </si>
  <si>
    <t>Cost parameters are still being identified and evaluated to fund ERP</t>
  </si>
  <si>
    <t>No financing scenarios are currently being considered to fund our ERMs</t>
  </si>
  <si>
    <t>Total estimated % GHG reduction</t>
  </si>
  <si>
    <t>M1 Set goal</t>
  </si>
  <si>
    <t>TOTAL SCORE FOR MILESTONE 5</t>
  </si>
  <si>
    <t>Carbon capture sequestration and storage</t>
  </si>
  <si>
    <t>Data for identified ERM's are still being collected, categorized, and evaluated</t>
  </si>
  <si>
    <t>• Your organization demonstrates exceptional foresight in identifying key scenarios that could impact your decarbonization roadmap, showcasing strategic thinking. By proactively considering these variables, you've established a foundation for resilient climate action that can adapt to changing conditions while maintaining progress toward your emissions reduction goals.</t>
  </si>
  <si>
    <t>• Your company's strategic approach to estimating how future business portfolio changes will impact your decarbonization plan demonstrates exceptional forward thinking and integration of sustainability into core business planning. By quantifying these potential effects will allow your decarbonization efforts evolve alongside your business growth and position yourself captturing emerging opportunities in the low-carbon economy.</t>
  </si>
  <si>
    <t>• Your  sophisticated scenario analysis not only strengthens your ability to navigate transition risks but also positions your organization to capitalize on emerging opportunities as markets and technologies evolve. Your commitment to understanding these complex interdependencies reflects true leadership in corporate climate action and creates a foundation for achieving meaningful emissions reductions.</t>
  </si>
  <si>
    <t>• Your company's thorough quantification of emissions reduction potential and all other critical parameters demonstrates rigor and strategic foresight in your decarbonization planning. This helps create a clear roadmap for achieving your climate goals while maintaining business continuity. Translating sustainability ambitions into detailed operational and financial metrics will drive meaningful climate action while creating long-term value for stakeholders.</t>
  </si>
  <si>
    <t>• Your company's foresight in defining comprehensive cost and financial scenarios demonstrates strategic planning for decarbonization. Evaluating technological readiness you've created a robust analytical framework that accounts for the full spectrum of transition uncertainties. This scenario-bas approach not only strengthens your climate strategy's resilience against market volatility but also positions your organization to make informed investment decisions that balance immediate business needs with long-term sustainability goals.</t>
  </si>
  <si>
    <t>• Your company's strategic selection of decarbonization pathways based on comprehensive scenario analysis demonstrates maturity in climate action planning and a commitment to data-driven decision-making. This methodical approach not only enhances your organization's resilience to transition risks but also optimizes resource allocation toward the most impactful decarbonization opportunities across your operations.</t>
  </si>
  <si>
    <t>• Your commitment to excellence is evident in the comprehensive updates to your governance standards, operations procedures, and project frameworks that align with emission reduction goals. The thoughtful integration of updated training programs and procurement practices demonstrates your organization's dedication to sustainable business practices at every level. Your improved financing and communications standards create a solid foundation for long-term environmental stewardship that benefits your stakeholders.</t>
  </si>
  <si>
    <t>• Your organization demonstrates clear financing methods for sustainability initiatives, ensuring that environmental goals receive the necessary resources for successful implementation. Your deployment schedule for emission reduction projects reflects thorough planning and a genuine dedication to achieving meaningful environmental outcomes within defined timeframes. Your detailed deployment schedule for emission reduction projects reflects thorough planning and implementation within defined timeframes.</t>
  </si>
  <si>
    <t xml:space="preserve">• Your commitment to inclusive decision-making is exemplified by the meaningful stakeholder engagement process you implemented while developing your emission reduction plan. By actively involving diverse perspectives from with and external to your company has helped you create a  more robust and well-rounded sustainability strategy that addresses multiple priorities and concerns. The transparent release of your finalized plan demonstrates accountability and builds trust with all stakeholders, setting a strong foundation for collaborative implementation. </t>
  </si>
  <si>
    <t xml:space="preserve">• Your organization demonstrates commitment to turning sustainability goals into tangible actions through your comprehensive work plan for implementing emission reduction projects. The detailed roadmap you've developed, complete with clear milestones, resource allocation, and accountability measures provides a practical framework that will guide your successful transition to more sustainable operations. This thorough planning approach significantly increases the likelihood of achieving your emission reduction targets. </t>
  </si>
  <si>
    <t>• Your organization's dedication to data-driven sustainability is exemplified by your rigorous verification of environmental benefits across your sustainability initiatives. By implementing comprehensive measurement and verification protocols, you provide credible evidence of your positive environmental impact while ensuring transparency and accountability to stakeholders.</t>
  </si>
  <si>
    <t xml:space="preserve">• Your organization's thorough documentation of processes, key learnings, and best practices from sustainability project implementation demonstrates commitment to continuous improvement and knowledge sharing. By capturing these valuable insights, you're creating an invaluable resource that will enhance future initiatives within your organization while potentially setting industry standards for emission reduction excellence. </t>
  </si>
  <si>
    <t>• Your commitment to maintaining a dynamic and effective sustainability strategy is exemplified by your disciplined approach to reviewing and updating your emission reduction plan. This proactive revision cycle ensures your sustainability initiatives remain aligned with your evolving business growth, technological advancements, and changing market conditions while continuously improving your environmental performance. By treating your emission reduction plan as a living document rather than a static commitment, you demonstrate exceptional environmental leadership that balances long-term climate goals with the practical realities of your business development.</t>
  </si>
  <si>
    <t>Positive Feedback</t>
  </si>
  <si>
    <t>Areas of Improvement</t>
  </si>
  <si>
    <t>Task 1: Identify and Engage Stakeholders  </t>
  </si>
  <si>
    <t>general text : Your emission reduction approach demonstrates corporate environmental leadership.</t>
  </si>
  <si>
    <t xml:space="preserve">Task 2: Establish a GHG Inventory Management Plan </t>
  </si>
  <si>
    <t xml:space="preserve">general text :To strengthen your emission reduction planning, we recommend </t>
  </si>
  <si>
    <t xml:space="preserve">Task 3: Set GHG Reduction Target </t>
  </si>
  <si>
    <t xml:space="preserve">Task 4: Define Evaluation Criteria </t>
  </si>
  <si>
    <t xml:space="preserve">Task 1: Select Characteristics for the Portfolio </t>
  </si>
  <si>
    <t>Task 2: Identify and quantify GHG emissions for Significant Greenhouse Gas Emitters (SGEs)</t>
  </si>
  <si>
    <t xml:space="preserve">Task 3: Benchmark SGEs </t>
  </si>
  <si>
    <t>Task 4: Select systems for further analysis</t>
  </si>
  <si>
    <t>Milestone 3: Assess Measure </t>
  </si>
  <si>
    <t>Task 1: Facility level GHG emissions reduction assessment planning </t>
  </si>
  <si>
    <t>Milestone 4: Develop Scenarios  </t>
  </si>
  <si>
    <t>Task 1: Establish Scenario Parameters</t>
  </si>
  <si>
    <t>Task 2: Estimate Future Business Portfolio Changes</t>
  </si>
  <si>
    <t xml:space="preserve">Task 3 : Review Emission Reduction Measures </t>
  </si>
  <si>
    <t>Task 4: Define Scenario</t>
  </si>
  <si>
    <t>Task 5: Evaluate Scenarios</t>
  </si>
  <si>
    <t>Task 1: Assess scenarios and select pathway</t>
  </si>
  <si>
    <t>Task 2: Update Organizational Standards and Procedures</t>
  </si>
  <si>
    <t>Task 3: Define financing and project deployment schedule</t>
  </si>
  <si>
    <t>Task 4:  Secure Final Buy-in from Stakeholder and Release Plan</t>
  </si>
  <si>
    <t xml:space="preserve">Task 1: Develop work plan </t>
  </si>
  <si>
    <t>Task 2: Measure and verify GHG emissions reductions</t>
  </si>
  <si>
    <t>Task 3: Document and share key learnings from project implementation</t>
  </si>
  <si>
    <t>Task 4: Continuous evaluation of circumstances and revision of ERP</t>
  </si>
  <si>
    <t xml:space="preserve">Milestone 6 - Ongoing Implementation </t>
  </si>
  <si>
    <t>ERP Feedback</t>
  </si>
  <si>
    <t>•Regular 2-4 year ERP system updates ensure alignment with evolving energy markets, incorporate emerging technologies and efficiency standards, prevent performance degradation, optimize resource allocation, reduce carbon footprint, and enhance adaptability to market disruptions.</t>
  </si>
  <si>
    <t>•Companies benefit from broader stakeholder engagement, including both internal teams (executives, finance, engineers) and external experts to ensure organizational alignment and bring specialized knowledge to your initiatives.</t>
  </si>
  <si>
    <t>•Consider developing a more robust GHG inventory by establishing a Protocol-aligned accounting framework that thoroughly maps all entities and operations while implementing a centralized tracking system with regular reporting schedules.</t>
  </si>
  <si>
    <t>•Set more ambitious emission reduction targets that could drive innovation while potentially reducing costs through optimized processes.</t>
  </si>
  <si>
    <t>•A standardized assessment matrix would help prioritize projects based on reduction potential, costs, ROI, and strategic alignment, while considering valuable co-benefits beyond carbon reduction.</t>
  </si>
  <si>
    <t>•Identifying key characteristics within your portfolio to establish clear prioritization criteria. This would help focus your resources on the most impactful initiatives first.</t>
  </si>
  <si>
    <t>•Consider conducting a thorough assessment to identify significant systems and processes with high emissions, as targeting these areas would yield substantial reductions.</t>
  </si>
  <si>
    <t>•Implementing benchmarking activities would allow you to compare your performance against industry best practices and standards, revealing important improvement opportunities and setting appropriate targets.</t>
  </si>
  <si>
    <t>•Conduct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t>
  </si>
  <si>
    <t xml:space="preserve">•Establish multiple scenarios that could affect your emission reduction efforts. Developing these alternative futures would create more resilient planning that accounts for uncertainties in technology, markets,cost and regulations, and other external factors. </t>
  </si>
  <si>
    <t>•Identify potential business portfolio changes—such as acquisitions, divestitures, or new product lines—could significantly impact your emissions profile.</t>
  </si>
  <si>
    <t>•Once these scenarios and portfolio changes are outlined, evaluating their effects on your decarbonization trajectory would allow for more adaptive planning rather than a single rigid pathway. This scenario-based methodology would help future-proof your climate strategy, ensuring it remains relevant and effective despite changing business conditions.</t>
  </si>
  <si>
    <t>•Conduct a thorough assessment of future scenarios to better understand potential challenges and opportunities. This analysis would help you develop a more adaptive plan capable of responding to changing conditions.</t>
  </si>
  <si>
    <t>•Update your company standards around financing, governance, communication, and training to fully support implementation.</t>
  </si>
  <si>
    <t>•Clearly define your financing strategy for the plan, including potential funding sources and investment criteria. Developing a detailed project deployment schedule with clear timelines, responsibilities, and dependencies would significantly improve execution.</t>
  </si>
  <si>
    <t>•These enhancements would help secure stronger buy-in from stakeholders before officially releasing your decarbonization plan.</t>
  </si>
  <si>
    <t>•Develop a detailed work plan that clearly outlines how projects will be deployed across your organization. This should include specific timelines, responsibilities, resource requirements, and dependencies.</t>
  </si>
  <si>
    <t>•Consider establishing a robust measurement and verification system to accurately track emission reductions achieved by each initiative, which would provide critical data on effectiveness and ROI.</t>
  </si>
  <si>
    <t>•Create formal process to document and share key learnings from project implementation throughout your organization, helping to improve future projects and build institutional knowledge.</t>
  </si>
  <si>
    <t>•Implement a continuous evaluation mechanism that would allow you to regularly assess whether changes or updates are needed to your emission reduction plan based on implementation experiences, new technologies, or changing business conditions.</t>
  </si>
  <si>
    <t>•By conducting comprehensive facility-level assessments to identify projects, you've established a solid foundation for targeted action based on site-specific opportunities. Your careful evaluation of infrastructure needs for implementation shows practical planning that anticipates execution challenges. Particularly impressive is your consideration of diverse decarbonization pathways, creating a balanced and flexible approach that can adapt to changing conditions, technologies, and opportunities.</t>
  </si>
  <si>
    <t>•The portfolio-level assessment you've conducted has effectively identified valuable cross-functional energy efficiency opportunities and best practices that can be leveraged throughout your operations. This enterprise-wide perspective creates powerful synergies and knowledge-sharing that amplify your impact. Your corporate-wide renewable energy purchasing strategy shows commitment to fundamental energy transition principles while likely achieving economies of scale. Particularly impressive is your inclusion of dedicated strategies for both mobile and fugitive emissions, addressing important sources that companies often overlook.</t>
  </si>
  <si>
    <t>•By establishing multiple scenarios that could affect your decarbonization efforts, you've created a framework that acknowledges future uncertainties while maintaining clear direction.</t>
  </si>
  <si>
    <t>•Your proactive identification of potential business portfolio changes shows sophisticated planning that integrates sustainability with core business strategy.</t>
  </si>
  <si>
    <t>•Particularly impressive is your thorough evaluation of how these various scenarios would impact your decarbonization trajectory, allowing for adaptive planning rather than rigid pathways. This scenario-based methodology creates resilience in your climate strategy, ensuring it remains relevant and effective despite changing business conditions, regulatory landscapes, or technological developments.</t>
  </si>
  <si>
    <t>•Your strategic foresight in assessing future scenarios has resulted in a highly adaptive plan.</t>
  </si>
  <si>
    <t>•The comprehensive updates to company standards in financing, governance, communication, and training show strong systems integration. You've established clear performance metrics with effective tracking methods to measure progress.</t>
  </si>
  <si>
    <t>•Your well-developed project deployment schedule demonstrates practical implementation planning with realistic timelines. You have clearly defined your financing strategy for the plan, including potential funding sources and investment criteria</t>
  </si>
  <si>
    <t>•You've successfully secured stakeholder buy-in throughout the organization, which is critical for long-term success.</t>
  </si>
  <si>
    <t>•By developing a comprehensive work plan for deployment, you've created clear pathways from strategy to action with specific timelines, responsibilities, and resource allocations.</t>
  </si>
  <si>
    <t>•Your measurement and verification system for tracking emission reductions shows commitment to accountability and data-driven management, enabling precise understanding of each initiative's effectiveness and ROI.</t>
  </si>
  <si>
    <t>•Your formal process for documenting and sharing key learnings from project implementation builds valuable institutional knowledge and improves future projects.</t>
  </si>
  <si>
    <t>•Your continuous evaluation mechanism for assessing needed changes demonstrates sophisticated adaptive management that ensures your plan remains relevant despite evolving technologies, business conditions, and opportunities.</t>
  </si>
  <si>
    <t xml:space="preserve">•Conduct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decarbonization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t>
  </si>
  <si>
    <t>•The early engagement of diverse stakeholders from both internal teams and external experts has created a well-rounded strategy with strong organizational alignment.</t>
  </si>
  <si>
    <t>•Your GHG inventory isaligned with GHG Protocol with comprehensive operational mapping, and robust tracking systems ensuring data accuracy and transparency.</t>
  </si>
  <si>
    <t xml:space="preserve">•The ambitious targets you've established strategically position your company in an increasingly eco-conscious marketplace. </t>
  </si>
  <si>
    <t>•Your project prioritization framework effectively directs resources to the most impactful initiatives.</t>
  </si>
  <si>
    <t>•By identifying key portfolio characteristics for prioritization, you've created a targeted framework that will maximize impact and resource efficiency.</t>
  </si>
  <si>
    <t>•Your thorough assessment of high-emission systems and processes shows a commitment to addressing the most significant sources first, which will drive meaningful results.</t>
  </si>
  <si>
    <t>•The benchmarking work you've conducted to compare performance against industry best practices and standards demonstrates both diligence and ambition in your planning process.</t>
  </si>
  <si>
    <t>AREAS THAT NEED IMPROVEMENT ACROSS YOUR ERP</t>
  </si>
  <si>
    <t>AREAS THAT ARE PROFICIENT IN YOUR ERP</t>
  </si>
  <si>
    <t xml:space="preserve">Areas of Sucessful ERP Execution </t>
  </si>
  <si>
    <t>ERP Enhancement Areas</t>
  </si>
  <si>
    <t xml:space="preserve">Not relevant to our company </t>
  </si>
  <si>
    <t xml:space="preserve">Yes, we implement energy efficiency and operational efficiency standard on a facility-by-facility basis </t>
  </si>
  <si>
    <t>Organization uses varying measurement approaches across different ERMs</t>
  </si>
  <si>
    <t>This score is based on evalution of your compampanies emission reduction strategies based on DOE's Emission Reduction Planning Framework for Industrial Sector. By highlighting both areas of excellence and improvement opportunities, it enables organizations to develop comprehensive, actionable decarbonization roadmaps aligned with the Framework. The assessment provides targeted feedback on critical milestones and core requirements to accelerate progress toward emissions targets.</t>
  </si>
  <si>
    <t xml:space="preserve">     U.S. Department of Energy</t>
  </si>
  <si>
    <t>ERP Gap Analysis Tool</t>
  </si>
  <si>
    <t xml:space="preserve">The Concept tab provides brief descriptions of the information provided on the other tabs included in the ERP GAP Analysis Tool. </t>
  </si>
  <si>
    <t>Envrionmental, ESG or Sustainability teams</t>
  </si>
  <si>
    <t>Real Estate and Building Maintenance</t>
  </si>
  <si>
    <t>Operational Maintenance</t>
  </si>
  <si>
    <t>Quality teams</t>
  </si>
  <si>
    <t>Yes, but need to improve quality</t>
  </si>
  <si>
    <t>MILESTONE</t>
  </si>
  <si>
    <t>Milestone 6</t>
  </si>
  <si>
    <t>To strengthen your emission reduction planning, we recommend the following</t>
  </si>
  <si>
    <t>Your emission reduction approach demonstrates corporate environmental leadership.</t>
  </si>
  <si>
    <t>Milestone Feedback (Negative left, Positive right)</t>
  </si>
  <si>
    <t>• Your company has demonstrated leadership by actively involving both internal teams and external stakeholders in developing a comprehensive emission reduction strategy that addresses diverse perspectives and concerns.</t>
  </si>
  <si>
    <r>
      <t xml:space="preserve">How are SGEs prioritized for further analysis? </t>
    </r>
    <r>
      <rPr>
        <i/>
        <sz val="14"/>
        <color theme="0" tint="-0.499984740745262"/>
        <rFont val="Arial"/>
        <family val="2"/>
      </rPr>
      <t>(Type in your answer)</t>
    </r>
    <r>
      <rPr>
        <sz val="14"/>
        <rFont val="Arial"/>
        <family val="2"/>
      </rPr>
      <t xml:space="preserve"> </t>
    </r>
    <r>
      <rPr>
        <i/>
        <sz val="14"/>
        <color theme="3" tint="0.249977111117893"/>
        <rFont val="Arial"/>
        <family val="2"/>
      </rPr>
      <t>{Please rank the following from 1 (highest priority) to 4 (lowest priority)}</t>
    </r>
  </si>
  <si>
    <t xml:space="preserve">Milestone 6: Ongoing  Implementation </t>
  </si>
  <si>
    <r>
      <t>(Type in your answer)</t>
    </r>
    <r>
      <rPr>
        <sz val="12"/>
        <color theme="4"/>
        <rFont val="Arial"/>
        <family val="2"/>
      </rPr>
      <t xml:space="preserve"> {Please rank the following from 1 (highest priority) to 4 (lowest priority)}</t>
    </r>
  </si>
  <si>
    <t>This page provides key references and supporting materials to guide the development and implementation of your emissions reduction strategy. The resources listed here offer comprehensive standards, methodologies, and best practices for identifying, calculating, and reporting emissions across various organizational sources and activities.
These carefully selected references support organizations in aligning with internationally recognized frameworks while ensuring consistency, accuracy, and transparency throughout their climate action planning journey. From initial baseline assessments to long-term monitoring, these tools provide the foundation needed to create effective and credible emissions reduction plans that meet stakeholder expectations and regulatory requirements.</t>
  </si>
  <si>
    <t>Task 4: Define scenarios</t>
  </si>
  <si>
    <t>Milestone 5: Establish scenario parameters</t>
  </si>
  <si>
    <t>Task 2: Update organizational standards and procedures</t>
  </si>
  <si>
    <t>Task 4: Secure final buy-in from stakeholder and release plan</t>
  </si>
  <si>
    <t xml:space="preserve">Milestone 6: Ongoing Implementation </t>
  </si>
  <si>
    <t>Type in your answers (open ended text response) or (numeric response)</t>
  </si>
  <si>
    <t>Quick brown fox jumps over the lazy dog
30%</t>
  </si>
  <si>
    <r>
      <t xml:space="preserve">Organizations should considering identifying low-carbon fuel vendors
</t>
    </r>
    <r>
      <rPr>
        <b/>
        <sz val="11"/>
        <color theme="1"/>
        <rFont val="Aptos Narrow"/>
        <family val="2"/>
        <scheme val="minor"/>
      </rPr>
      <t>Key Actions:</t>
    </r>
    <r>
      <rPr>
        <sz val="11"/>
        <color theme="1"/>
        <rFont val="Aptos Narrow"/>
        <family val="2"/>
        <scheme val="minor"/>
      </rPr>
      <t xml:space="preserve">
1)Conduct market research to identify established low-carbon fuel suppliers in your region, consult with energy transition consultants who specialize in fuel switching projects
2) Develop detailed qualification criteria for potential vendors, request and review third-party certification of low-carbon fuel production methods, assess vendors' historical supply reliability and contract fulfillment records, evaluate suppliers' own carbon reduction commitments and sustainability practices, review vendors' contingency plans for supply chain disruptions
3) Issue formal RFPs (Requests for Proposals) with specific sustainability criteria, conduct site visits to potential suppliers' production facilities, negotiate long-term procurement agreements with carbon intensity guarantees
4) Develop relationships with multiple suppliers to mitigate single-source risks, consider co-investment opportunities with promising fuel producers, create contingency plans for supply interruptions</t>
    </r>
  </si>
  <si>
    <t>Organization can pursue carbon capture and sequestration where applicable in their process to meet their goal. 
Key Actions:
1) Evaluate post-combustion, pre-combustion, and oxy-fuel combustion capture technologies, retrofit existing facilities with appropriate carbon capture equipment, update faccilities with integrated carbon capture capabilities, evaluate sequestration strategies. 
2)Form alliances with technology providers specializing in carbon capture, collaborate with nearby industries for shared carbon transport and storage infrastructure
3)Explore available tax incentives, grants, and subsidies for CCS projects, develop carbon credit generation and monetization strategies, secure financing through green bonds or sustainability-linked loans</t>
  </si>
  <si>
    <t>Organization can impement energy efficiency measures and operational efficiency (industry best practices) across all their facilities
Key Actions:
1) Develop standard operating procedures (SOPs) for energy-efficient operations, train operators and maintenance staff on energy-efficient practices, implement predictive maintenance programs to prevent efficiency losses, apply lean manufacturing principles to reduce waste and energy consumption
2) Implement building managemnt systems to monitor perfrmance, create an energy management system aligned with ISO 50001 standards, focus on common systems in all facilities such as HVAC system, lighting, compressed air system</t>
  </si>
  <si>
    <t>#</t>
  </si>
  <si>
    <t>Successful ERP planning requires engaging both internal stakeholders (including executive leadership, finance, sustainability, and project management teams) and external stakeholders (such as local communities, utilities, and government representatives) early in the process. Early stakeholder engagement helps organizations identify opportunities, avoid unrealistic strategies, and build relationships that benefit long-term plan implementation.
A) Executive leadership-Executive leadership are individuals who manage or direct employees in an organization to influence and guide these individuals.
B) Facility Leadership - Facility leadership involves guiding and motivating teams to effectively manage and optimize facilities/factories/plant, ensuring they meet organizational needs and contribute to overall business goals.
C) A financing team - Is a group of professionals within an organization responsible for managing the company's financial operations, including accounting, budgeting, financial reporting, analysis, cash management, investments, and financial planning, ultimately ensuring the organization's financial health and stability.
D) Environmental or sustainability teams - Groups of staff focused on creating a culture of sustainability within an organization, focusing on specific departments or units to implement and promote sustainable practices.
E) A Real Estate and Building Maintenance team - This group focuses on maintaining and preserving the value of properties, encompassing tasks like repairs, cleaning, landscaping, and ensuring the building's systems function correctly.
F) An operational maintenance team - This group is responsible for ensuring the smooth and efficient operation of assets, infrastructure, and facilities by performing routine maintenance, addressing faults, and implementing proactive maintenance strategies to maintain equipment and systems in optimal condition.
G) A procurement team - This is a group of individuals responsible for the strategic process of sourcing and acquiring goods and services, focusing on long-term benefits and relationships, and ensuring supply chain efficiency.
H) A Project Management Team - This is a group of individuals responsible for planning, executing, monitoring, and controlling a project to ensure its successful completion, typically including a project manager and various team members with diverse skills and expertise.
I) A communications team - This is a group of professionals within an organization responsible for managing and executing all internal and external communication activities, including media relations, public relations, and internal communications. 
J) A legal team - This is a group of legal professionals, including lawyers, legal assistants, and paralegals, who work together to provide legal advice, representation, and support to an organization or client.
K) A Research and Development (R&amp;D) team - This is a specialized group focused on innovating, creating new products or processes, and improving existing ones through research, experimentation, and development activities.
L) A "quality team" or "quality management team" - This is a group of individuals responsible for ensuring and improving the quality of products or services within an organization, often through implementing and maintaining quality management systems.</t>
  </si>
  <si>
    <t>Task 1: Identify and engage stakeholders </t>
  </si>
  <si>
    <t>Task 1.1: Designing Impactful engagement</t>
  </si>
  <si>
    <t>Common Threads seeks to provide guidance that will enable companies to better engage their external stakeholders, address their material issues and strengthen their business strategies.</t>
  </si>
  <si>
    <t>Task 1.2 : Essential guide to enhansing investor engagement</t>
  </si>
  <si>
    <t>This resesource contains maturity map is designed to enable you to assess what you are currently doing and how you can advance to a leading position. It has been developed as a way of capturing the different dimensions of enhanced investor engagement.</t>
  </si>
  <si>
    <t>Task 4.1: Annual Energy Outlook 2023</t>
  </si>
  <si>
    <t>The Annual Energy Outlook 2023 (AEO2023) explores long-term energy trends in the United States.</t>
  </si>
  <si>
    <t>Task 4.2: Better building program - Financing Navigator</t>
  </si>
  <si>
    <t>This primer serves as an introduction to the challenges and opportunities in energy finance for the industrial sector. It provides case studies and other resources to help companies in the sector take advantage of innovative financing strategies.</t>
  </si>
  <si>
    <t>Task 4.3: The pathway to: clean hydrogen commercial lift off</t>
  </si>
  <si>
    <t>Task 4.3: Greening of the grid</t>
  </si>
  <si>
    <t>This resource is a video, an excerpt from a series of peer exchanges hosted by the Advanced Manufacturing Office and the Better Buildings Better Plants Low Carbon Pilot. Take a deeper look at the U.S. Energy Information Administration’s electricity market projects through 2050 and the U.S. Clean Power market outlook on a 10-year horizon.</t>
  </si>
  <si>
    <t>Clean hydrogen plays a key role in the decarbonization of both industrial sectors, like steelmaking and petrochemical processes, and transportation sectors, like aviation fuels and heavy-duty trucking. It may also serve as a key long-duration storage technology to meet rising electricity demand. It can be produced using different technologies, including but not limited to: electrolysis powered by clean electricity, natural gas reforming with carbon capture processes, methane pyrolysis, co-production with chlor-alkali, and even mining, as clean hydrogen can be formed geologically underground.</t>
  </si>
  <si>
    <t>This article is for disclosing organizations and outlines the resources available for companies disclosing through CDPs corporate questionnaires.</t>
  </si>
  <si>
    <t>Task 4.2: CDP Questionnaire guidance for companies</t>
  </si>
  <si>
    <t>Task 3.2: Marginal Abatement Cost Curves for U.S. Net-Zero Energy Systems A Systems Approach</t>
  </si>
  <si>
    <t>This resource presents a new methodology that embraces the aspects of traditional MAC curves that make them so compelling (e.g., simplicity and accessibility) while also addressing their limitations.Traditional marginal abatement cost (MAC) curves have become the de facto starting point for comparing emission reduction measures since being popularized by McKinsey &amp; Company more than a decade ago. However, traditional MAC methodologies are ill-suited to the task of today — analyzing the coordinated deployment of low- and zero-carbon measures required to reach net-zero energy systems by 2050.</t>
  </si>
  <si>
    <t>Task 3.1: Better building solution center: Connect with financial allies.</t>
  </si>
  <si>
    <t>This resource contains a list of the Better Buildings Financial Allies—market-leading financing companies that have committed to funding energy efficiency and renewable energy projects.</t>
  </si>
  <si>
    <t>This resource discusses how identifying and quantifying non-energy benefits (NEBs) of energy efficiency projects can enhance business performance and reduce project payback periods. It introduces the JUSTIFI software, which employs Six Sigma's DMAIC process to systematically identify and assess these NEBs, aligning energy projects with strategic business objective</t>
  </si>
  <si>
    <t>Task: 2.1: General Motors: Energy and Carbon Optimization Toolbox</t>
  </si>
  <si>
    <t>​The Energy and Carbon Optimization (ECO) Toolbox is a resource developed by General Motors to identify energy savings opportunities and reduce carbon emissions.</t>
  </si>
  <si>
    <t>This case study from the U.S. Department of Energy’s Better Buildings Solution Center highlights how ArcelorMittal USA used a friendly competition—the POWER 1 Contest—to drive employee engagement in energy-saving practices. The initiative not only fostered a culture of sustainability within the company but also led to measurable energy reductions and cost savings. It’s a great example of how strategic employee involvement can advance energy goals in industrial settings.</t>
  </si>
  <si>
    <t>Virtual Trainings (VTs) offered by the U.S. Department of Energy’s Better Plants program are the online version of the multi- day workshops known as In-Plant (INPLTs) trainings. As with in-person training, the VTs will help attendees to identify energy efficiency and decarbonization opportunities, quantify savings from those opportunities, and implement projects to realize the savings.</t>
  </si>
  <si>
    <t>Task 2.3: Better Plants: Virtual training</t>
  </si>
  <si>
    <t>Task 2.3: Better Plants Diagnostic Tools: Enhancing Energy Management</t>
  </si>
  <si>
    <t>The U.S. Department of Energy’s Better Plants program offers a suite of diagnostic tools designed to assist organizations in collecting and analyzing energy data. These tools help identify opportunities for improving equipment efficiency and overall energy management, supporting facilities in achieving their sustainability and cost-saving objectives.</t>
  </si>
  <si>
    <t>This case study from the U.S. Department of Energy’s Better Buildings Solution Center illustrates how Nissan North America adapted its payback criteria to finance energy efficiency initiatives. By modifying traditional payback requirements, Nissan was able to prioritize and implement projects that deliver long-term energy and cost savings, demonstrating a strategic commitment to sustainability and operational efficiency.</t>
  </si>
  <si>
    <t>Task 4.2: KPMG's Guide to Implementing Internal Carbon Pricing</t>
  </si>
  <si>
    <t>This resource offers a comprehensive overview of developing and implementing Internal Carbon Pricing (ICP) programs. The guide discusses the benefits of ICP, such as managing transition risks and evaluating business strategies for a low-carbon future. It also explores various approaches to ICP, including shadow pricing and internal carbon fees, and provides case studies of organizations that have successfully integrated ICP into their operations.</t>
  </si>
  <si>
    <t>Task 2.5: Empowering Energy Efficiency: Saint-Gobain's Energy Champions Initiative</t>
  </si>
  <si>
    <t>Saint-Gobain has successfully integrated energy efficiency into its manufacturing operations through the "Energy Champions at All Plants" model. This initiative designates dedicated personnel at each facility to lead energy management efforts, fostering a culture of sustainability and continuous improvement across the organization. By implementing this model, Saint-Gobain has achieved significant energy savings and enhanced operational efficiency, serving as a replicable example for other manufacturers aiming to embed energy stewardship into their processes.​</t>
  </si>
  <si>
    <t xml:space="preserve">Task 2.5:Enhancing Energy Engagement: Celanese Corporation's Plant Operations Teams Initiative </t>
  </si>
  <si>
    <t xml:space="preserve">Celanese Corporation has addressed the critical challenge of employee involvement in energy management by implementing the "Raising Energy Engagement in Plant Operations Teams" initiative. This program focuses on actively engaging plant operations teams to foster a culture of energy efficiency and sustainability. By empowering employees to identify and implement energy-saving opportunities, Celanese has achieved significant improvements in energy performance across its facilities. This approach not only enhances operational efficiency but also serves as a model for other organizations aiming to integrate employee-driven energy management practices into their operations. </t>
  </si>
  <si>
    <t>Task 2.6: Strategic Approaches to Sustainable Energy Procurement</t>
  </si>
  <si>
    <t>Covington &amp; Burling LLP's "Sustainability Toolkit: Corporate Strategies for Sustainable Energy Procurement" provides a comprehensive guide for companies aiming to reduce greenhouse gas emissions and enhance energy efficiency. The toolkit outlines various procurement options, including on-site generation, off-site solutions like virtual power purchase agreements, and collaborative ventures. It emphasizes aligning energy projects with corporate sustainability goals, risk tolerance, and value expectations, offering a structured framework to navigate the complexities of sustainable energy procurement effectively.​</t>
  </si>
  <si>
    <t>Task 2.7: Guidelines for Issuing Green Bonds: ICMA's Green Bond Principles</t>
  </si>
  <si>
    <t>The International Capital Market Association's (ICMA) Green Bond Principles (GBP) are voluntary guidelines designed to promote transparency and integrity in the green bond market. They provide issuers with a framework for financing projects that offer environmental benefits, supporting the transition to a net-zero emissions economy.</t>
  </si>
  <si>
    <t>Task 2.7: Electrolux Group's Green Financing Framework and Long-term Incentive Program</t>
  </si>
  <si>
    <t>Electrolux Group has implemented two key initiatives to advance its sustainability objectives: the Green Financing Framework and the Long-term Incentive (LTI) Program. The Green Financing Framework facilitates the issuance of green bonds, directing capital toward projects that enhance energy efficiency and promote sustainable practices. Complementing this, the LTI Program aligns employee compensation with the company's climate action goals, incentivizing staff to contribute actively to sustainability efforts. Together, these initiatives underscore Electrolux's commitment to integrating financial strategies with environmental responsibility.</t>
  </si>
  <si>
    <t>Task 2.8: Celebrating Leadership: Better Plants Partner Recognition</t>
  </si>
  <si>
    <t xml:space="preserve">The U.S. Department of Energy's Better Plants program honors partners demonstrating exceptional commitment to energy efficiency and sustainability. This recognition highlights achievements such as meeting energy reduction goals, implementing innovative projects, and adopting best practices in energy management. By acknowledging these accomplishments, the program not only celebrates individual successes but also sets benchmarks for the industrial sector, inspiring broader adoption of energy-efficient practices. </t>
  </si>
  <si>
    <t>Task 2.8: ENERGY STAR Plant Certification: Recognizing Excellence in Industrial Energy Efficiency</t>
  </si>
  <si>
    <t xml:space="preserve">Task 2.4:​ Nissan North America's Modified Payback Approach to Funding Energy Efficiency Projects </t>
  </si>
  <si>
    <t>Task 2.4: KPMG's Guide to Implementing Internal Carbon Pricing</t>
  </si>
  <si>
    <t>Milestone #</t>
  </si>
  <si>
    <t>Task #</t>
  </si>
  <si>
    <t>Measured Binary Score (B)</t>
  </si>
  <si>
    <t>Max possbile binary score (B')</t>
  </si>
  <si>
    <t>Measured true score (T)</t>
  </si>
  <si>
    <t>Max possbile true score (T')</t>
  </si>
  <si>
    <t>Measured weighted score (W)</t>
  </si>
  <si>
    <t>Max possbile weighted score (W')</t>
  </si>
  <si>
    <t>M1</t>
  </si>
  <si>
    <t>T1</t>
  </si>
  <si>
    <t>T2</t>
  </si>
  <si>
    <t>T3</t>
  </si>
  <si>
    <t>T4</t>
  </si>
  <si>
    <t>M2</t>
  </si>
  <si>
    <t>M3</t>
  </si>
  <si>
    <t>M4</t>
  </si>
  <si>
    <t>T5</t>
  </si>
  <si>
    <t>M5</t>
  </si>
  <si>
    <t>M6</t>
  </si>
  <si>
    <t>Normalized True Score (%)</t>
  </si>
  <si>
    <t>Normalized Weighted score (%)</t>
  </si>
  <si>
    <t>No EE</t>
  </si>
  <si>
    <t>No Electrification</t>
  </si>
  <si>
    <t>No renewable energy</t>
  </si>
  <si>
    <t>No - low carbon fuel</t>
  </si>
  <si>
    <t>No CCUS</t>
  </si>
  <si>
    <t>Renewable energy procurement</t>
  </si>
  <si>
    <t>On-site Renewable energy production</t>
  </si>
  <si>
    <t>ARCHIVE LINKS</t>
  </si>
  <si>
    <t xml:space="preserve">The U.S. Environmental Protection Agency's (EPA) ENERGY STAR Plant Certification program honors manufacturing plants that achieve exceptional energy efficiency. This program serves as a benchmark for industries aiming to enhance their energy performance and sustainability practices. </t>
  </si>
  <si>
    <t>Task 2: Identify and quantify GHG emissions for SGEs</t>
  </si>
  <si>
    <t xml:space="preserve">Task 3.4: Engaging supply chains on decarbonization journey </t>
  </si>
  <si>
    <t>Task 3.2: Better Climate Challenge Non-Energy Benefits of Energy Projects- Improving Financial Payback</t>
  </si>
  <si>
    <t>Task 2.2: ArcelorMittal USA: Power of 1 Contest Increases Employee Engagement and Generates Low- and No-Cost Project Ideas</t>
  </si>
  <si>
    <r>
      <t xml:space="preserve">Speakers Andy Wirths from AstraZeneca, John Hanselman from Vanguard Renewables, and the RTC’s Ruth Checknoff discussed how the agreement to supply AstraZeneca with 650,000 MMBtu/year for 15 or more years contributes to the company’s ambition to reduce greenhouse gas emissions from its global operations (Scope 1 and 2) by 98% by 2026.. The full case study can be found: </t>
    </r>
    <r>
      <rPr>
        <sz val="12"/>
        <color rgb="FF00B0F0"/>
        <rFont val="Arial"/>
        <family val="2"/>
      </rPr>
      <t>https://www.renewablethermal.org/astrazeneca-vanguard-case-study/</t>
    </r>
  </si>
  <si>
    <t>Responsible</t>
  </si>
  <si>
    <t>Accountable</t>
  </si>
  <si>
    <t>Consulted</t>
  </si>
  <si>
    <t>Informed</t>
  </si>
  <si>
    <r>
      <t>Please identify all internal stakeholders involved in developing and implementing the Emission Reduction Plan and how you are engaging with them?</t>
    </r>
    <r>
      <rPr>
        <sz val="14"/>
        <color theme="7"/>
        <rFont val="Arial"/>
        <family val="2"/>
      </rPr>
      <t xml:space="preserve"> </t>
    </r>
    <r>
      <rPr>
        <i/>
        <sz val="14"/>
        <color rgb="FF92D050"/>
        <rFont val="Arial"/>
        <family val="2"/>
      </rPr>
      <t>(Select all that apply)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</si>
</sst>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00"/>
  </numFmts>
  <fonts count="125">
    <font>
      <sz val="11"/>
      <color theme="1"/>
      <name val="Aptos Narrow"/>
      <family val="2"/>
      <scheme val="minor"/>
    </font>
    <font>
      <b/>
      <sz val="11"/>
      <color theme="1"/>
      <name val="Aptos Narrow"/>
      <family val="2"/>
      <scheme val="minor"/>
    </font>
    <font>
      <sz val="12"/>
      <name val="Sans-serif"/>
    </font>
    <font>
      <i/>
      <sz val="12"/>
      <name val="Sans-serif"/>
    </font>
    <font>
      <sz val="12"/>
      <color theme="1"/>
      <name val="Sans-serif"/>
    </font>
    <font>
      <b/>
      <sz val="18"/>
      <name val="Sans-serif"/>
    </font>
    <font>
      <sz val="8"/>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0"/>
      <name val="Arial"/>
      <family val="2"/>
    </font>
    <font>
      <sz val="9"/>
      <color theme="1"/>
      <name val="Aptos Narrow"/>
      <family val="2"/>
      <scheme val="minor"/>
    </font>
    <font>
      <sz val="11"/>
      <color indexed="8"/>
      <name val="Calibri"/>
      <family val="2"/>
    </font>
    <font>
      <sz val="10"/>
      <color theme="1"/>
      <name val="Arial"/>
      <family val="2"/>
    </font>
    <font>
      <b/>
      <sz val="18"/>
      <color theme="3"/>
      <name val="Aptos Display"/>
      <family val="2"/>
      <scheme val="major"/>
    </font>
    <font>
      <sz val="11"/>
      <color rgb="FF9C6500"/>
      <name val="Aptos Narrow"/>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b/>
      <sz val="15"/>
      <color indexed="49"/>
      <name val="Aptos Narrow"/>
      <family val="2"/>
      <scheme val="minor"/>
    </font>
    <font>
      <u/>
      <sz val="11"/>
      <color theme="10"/>
      <name val="Calibri"/>
      <family val="2"/>
    </font>
    <font>
      <sz val="11"/>
      <color theme="1"/>
      <name val="Arial"/>
      <family val="2"/>
    </font>
    <font>
      <sz val="11"/>
      <name val="Arial"/>
      <family val="2"/>
    </font>
    <font>
      <b/>
      <sz val="11"/>
      <name val="Arial"/>
      <family val="2"/>
    </font>
    <font>
      <sz val="28"/>
      <color theme="0"/>
      <name val="Arial"/>
      <family val="2"/>
    </font>
    <font>
      <sz val="11"/>
      <color theme="0"/>
      <name val="Arial"/>
      <family val="2"/>
    </font>
    <font>
      <sz val="36"/>
      <color theme="0"/>
      <name val="Arial"/>
      <family val="2"/>
    </font>
    <font>
      <b/>
      <sz val="11"/>
      <color theme="0"/>
      <name val="Arial"/>
      <family val="2"/>
    </font>
    <font>
      <b/>
      <sz val="12"/>
      <color theme="1"/>
      <name val="Arial"/>
      <family val="2"/>
    </font>
    <font>
      <sz val="12"/>
      <color theme="1"/>
      <name val="Arial"/>
      <family val="2"/>
    </font>
    <font>
      <b/>
      <sz val="10"/>
      <name val="Arial"/>
      <family val="2"/>
    </font>
    <font>
      <b/>
      <sz val="16"/>
      <name val="Arial"/>
      <family val="2"/>
    </font>
    <font>
      <sz val="12"/>
      <color theme="7"/>
      <name val="Arial"/>
      <family val="2"/>
    </font>
    <font>
      <sz val="12"/>
      <name val="Arial"/>
      <family val="2"/>
    </font>
    <font>
      <sz val="12"/>
      <color rgb="FF92D050"/>
      <name val="Arial"/>
      <family val="2"/>
    </font>
    <font>
      <sz val="12"/>
      <color theme="1" tint="0.499984740745262"/>
      <name val="Arial"/>
      <family val="2"/>
    </font>
    <font>
      <sz val="12"/>
      <color theme="5"/>
      <name val="Arial"/>
      <family val="2"/>
    </font>
    <font>
      <b/>
      <sz val="18"/>
      <name val="Arial"/>
      <family val="2"/>
    </font>
    <font>
      <b/>
      <sz val="14"/>
      <name val="Arial"/>
      <family val="2"/>
    </font>
    <font>
      <b/>
      <sz val="12"/>
      <name val="Arial"/>
      <family val="2"/>
    </font>
    <font>
      <i/>
      <sz val="12"/>
      <name val="Arial"/>
      <family val="2"/>
    </font>
    <font>
      <i/>
      <sz val="12"/>
      <color theme="1"/>
      <name val="Arial"/>
      <family val="2"/>
    </font>
    <font>
      <sz val="14"/>
      <name val="Arial"/>
      <family val="2"/>
    </font>
    <font>
      <i/>
      <sz val="14"/>
      <name val="Arial"/>
      <family val="2"/>
    </font>
    <font>
      <sz val="14"/>
      <color theme="7"/>
      <name val="Arial"/>
      <family val="2"/>
    </font>
    <font>
      <i/>
      <sz val="14"/>
      <color rgb="FF92D050"/>
      <name val="Arial"/>
      <family val="2"/>
    </font>
    <font>
      <i/>
      <sz val="14"/>
      <color theme="5"/>
      <name val="Arial"/>
      <family val="2"/>
    </font>
    <font>
      <sz val="14"/>
      <color theme="1"/>
      <name val="Arial"/>
      <family val="2"/>
    </font>
    <font>
      <sz val="14"/>
      <color theme="5" tint="0.39997558519241921"/>
      <name val="Arial"/>
      <family val="2"/>
    </font>
    <font>
      <sz val="18"/>
      <color theme="1"/>
      <name val="Arial"/>
      <family val="2"/>
    </font>
    <font>
      <sz val="14"/>
      <color rgb="FF92D050"/>
      <name val="Arial"/>
      <family val="2"/>
    </font>
    <font>
      <i/>
      <sz val="14"/>
      <color theme="1" tint="0.499984740745262"/>
      <name val="Arial"/>
      <family val="2"/>
    </font>
    <font>
      <i/>
      <sz val="11"/>
      <name val="Arial"/>
      <family val="2"/>
    </font>
    <font>
      <b/>
      <i/>
      <u/>
      <sz val="12"/>
      <color theme="1"/>
      <name val="Arial"/>
      <family val="2"/>
    </font>
    <font>
      <sz val="12"/>
      <color theme="0" tint="-0.34998626667073579"/>
      <name val="Arial"/>
      <family val="2"/>
    </font>
    <font>
      <sz val="12"/>
      <color theme="1"/>
      <name val="Aptos Narrow"/>
      <family val="2"/>
      <scheme val="minor"/>
    </font>
    <font>
      <sz val="48"/>
      <color theme="0"/>
      <name val="Arial"/>
      <family val="2"/>
    </font>
    <font>
      <b/>
      <sz val="14"/>
      <color theme="1"/>
      <name val="Arial"/>
      <family val="2"/>
    </font>
    <font>
      <u/>
      <sz val="12"/>
      <color theme="1"/>
      <name val="Arial"/>
      <family val="2"/>
    </font>
    <font>
      <i/>
      <sz val="14"/>
      <color rgb="FF00B0F0"/>
      <name val="Arial"/>
      <family val="2"/>
    </font>
    <font>
      <sz val="12"/>
      <color theme="0"/>
      <name val="Arial"/>
      <family val="2"/>
    </font>
    <font>
      <b/>
      <sz val="12"/>
      <color theme="0"/>
      <name val="Arial"/>
      <family val="2"/>
    </font>
    <font>
      <i/>
      <sz val="14"/>
      <color theme="0" tint="-0.499984740745262"/>
      <name val="Arial"/>
      <family val="2"/>
    </font>
    <font>
      <b/>
      <sz val="9"/>
      <color indexed="81"/>
      <name val="Tahoma"/>
      <family val="2"/>
    </font>
    <font>
      <sz val="9"/>
      <color indexed="81"/>
      <name val="Tahoma"/>
      <family val="2"/>
    </font>
    <font>
      <sz val="12"/>
      <color theme="0" tint="-0.499984740745262"/>
      <name val="Arial"/>
      <family val="2"/>
    </font>
    <font>
      <b/>
      <i/>
      <sz val="14"/>
      <color rgb="FF92D050"/>
      <name val="Arial"/>
      <family val="2"/>
    </font>
    <font>
      <i/>
      <sz val="14"/>
      <color theme="1"/>
      <name val="Arial"/>
      <family val="2"/>
    </font>
    <font>
      <b/>
      <i/>
      <sz val="12"/>
      <color theme="1"/>
      <name val="Arial"/>
      <family val="2"/>
    </font>
    <font>
      <b/>
      <i/>
      <sz val="12"/>
      <name val="Arial"/>
      <family val="2"/>
    </font>
    <font>
      <u/>
      <sz val="11"/>
      <color theme="10"/>
      <name val="Aptos Narrow"/>
      <family val="2"/>
      <scheme val="minor"/>
    </font>
    <font>
      <sz val="12"/>
      <color rgb="FFFF0000"/>
      <name val="Arial"/>
      <family val="2"/>
    </font>
    <font>
      <sz val="12"/>
      <color rgb="FFC00000"/>
      <name val="Arial"/>
      <family val="2"/>
    </font>
    <font>
      <b/>
      <sz val="28"/>
      <color theme="1"/>
      <name val="Arial"/>
      <family val="2"/>
    </font>
    <font>
      <sz val="16"/>
      <color theme="1"/>
      <name val="Arial"/>
      <family val="2"/>
    </font>
    <font>
      <b/>
      <sz val="16"/>
      <color theme="1"/>
      <name val="Arial"/>
      <family val="2"/>
    </font>
    <font>
      <b/>
      <sz val="10"/>
      <color theme="1"/>
      <name val="Arial"/>
      <family val="2"/>
    </font>
    <font>
      <u/>
      <sz val="10"/>
      <color theme="10"/>
      <name val="Arial"/>
      <family val="2"/>
    </font>
    <font>
      <sz val="10"/>
      <color theme="1"/>
      <name val="Aptos Narrow"/>
      <family val="2"/>
    </font>
    <font>
      <i/>
      <sz val="11"/>
      <color theme="1"/>
      <name val="Arial"/>
      <family val="2"/>
    </font>
    <font>
      <b/>
      <u/>
      <sz val="10"/>
      <color theme="1"/>
      <name val="Arial"/>
      <family val="2"/>
    </font>
    <font>
      <sz val="12"/>
      <color theme="0"/>
      <name val="Aptos Narrow"/>
      <family val="2"/>
    </font>
    <font>
      <i/>
      <sz val="12"/>
      <color theme="4"/>
      <name val="Arial"/>
      <family val="2"/>
    </font>
    <font>
      <i/>
      <u/>
      <sz val="12"/>
      <color theme="7"/>
      <name val="Arial"/>
      <family val="2"/>
    </font>
    <font>
      <u/>
      <sz val="12"/>
      <color theme="10"/>
      <name val="Arial"/>
      <family val="2"/>
    </font>
    <font>
      <b/>
      <sz val="22"/>
      <color theme="1"/>
      <name val="Arial"/>
      <family val="2"/>
    </font>
    <font>
      <b/>
      <u/>
      <sz val="14"/>
      <color theme="1"/>
      <name val="Arial"/>
      <family val="2"/>
    </font>
    <font>
      <b/>
      <u/>
      <sz val="20"/>
      <color theme="1"/>
      <name val="Arial"/>
      <family val="2"/>
    </font>
    <font>
      <u/>
      <sz val="14"/>
      <color theme="7"/>
      <name val="Arial"/>
      <family val="2"/>
    </font>
    <font>
      <u/>
      <sz val="12"/>
      <color theme="10"/>
      <name val="Arial"/>
      <family val="2"/>
    </font>
    <font>
      <sz val="12"/>
      <color theme="1"/>
      <name val="Arial"/>
      <family val="2"/>
    </font>
    <font>
      <u/>
      <sz val="14"/>
      <color theme="7"/>
      <name val="Arial"/>
      <family val="2"/>
    </font>
    <font>
      <i/>
      <sz val="14"/>
      <color theme="3" tint="0.249977111117893"/>
      <name val="Arial"/>
      <family val="2"/>
    </font>
    <font>
      <sz val="14"/>
      <color indexed="81"/>
      <name val="Tahoma"/>
      <family val="2"/>
    </font>
    <font>
      <sz val="12"/>
      <color theme="4"/>
      <name val="Arial"/>
      <family val="2"/>
    </font>
    <font>
      <sz val="16"/>
      <color indexed="81"/>
      <name val="Arial"/>
      <family val="2"/>
    </font>
    <font>
      <b/>
      <sz val="72"/>
      <color theme="0"/>
      <name val="Arial"/>
      <family val="2"/>
    </font>
    <font>
      <sz val="12"/>
      <color rgb="FF00B0F0"/>
      <name val="Arial"/>
      <family val="2"/>
    </font>
    <font>
      <b/>
      <sz val="11"/>
      <color indexed="81"/>
      <name val="Arial"/>
      <family val="2"/>
    </font>
    <font>
      <b/>
      <sz val="12"/>
      <color indexed="81"/>
      <name val="Arial"/>
      <family val="2"/>
    </font>
  </fonts>
  <fills count="7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BDC5D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theme="0" tint="-0.49998474074526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92D050"/>
        <bgColor indexed="64"/>
      </patternFill>
    </fill>
    <fill>
      <patternFill patternType="solid">
        <fgColor theme="8" tint="0.79998168889431442"/>
        <bgColor indexed="64"/>
      </patternFill>
    </fill>
  </fills>
  <borders count="1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1"/>
      </left>
      <right/>
      <top style="medium">
        <color theme="1"/>
      </top>
      <bottom style="thin">
        <color auto="1"/>
      </bottom>
      <diagonal/>
    </border>
    <border>
      <left/>
      <right/>
      <top style="medium">
        <color theme="1"/>
      </top>
      <bottom style="thin">
        <color auto="1"/>
      </bottom>
      <diagonal/>
    </border>
    <border>
      <left style="medium">
        <color theme="1"/>
      </left>
      <right/>
      <top style="thin">
        <color auto="1"/>
      </top>
      <bottom style="thin">
        <color auto="1"/>
      </bottom>
      <diagonal/>
    </border>
    <border>
      <left/>
      <right style="medium">
        <color theme="1"/>
      </right>
      <top style="thin">
        <color auto="1"/>
      </top>
      <bottom style="thin">
        <color auto="1"/>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bottom/>
      <diagonal/>
    </border>
    <border>
      <left/>
      <right style="thin">
        <color theme="0"/>
      </right>
      <top style="medium">
        <color theme="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right>
      <top style="medium">
        <color indexed="64"/>
      </top>
      <bottom style="medium">
        <color indexed="64"/>
      </bottom>
      <diagonal/>
    </border>
    <border>
      <left/>
      <right style="medium">
        <color theme="1"/>
      </right>
      <top style="thin">
        <color auto="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0"/>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93">
    <xf numFmtId="0" fontId="0" fillId="0" borderId="0"/>
    <xf numFmtId="0" fontId="22" fillId="0" borderId="33" applyNumberFormat="0" applyFont="0" applyProtection="0">
      <alignment wrapText="1"/>
    </xf>
    <xf numFmtId="0" fontId="23" fillId="59" borderId="40" applyNumberFormat="0" applyFont="0" applyAlignment="0" applyProtection="0"/>
    <xf numFmtId="0" fontId="24" fillId="0" borderId="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7" fillId="13"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7" fillId="1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7" fillId="2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7" fillId="25"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2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7" fillId="3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7" fillId="1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7" fillId="1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7" fillId="2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7" fillId="2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7" fillId="3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7" fillId="34"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7" fillId="48" borderId="0" applyNumberFormat="0" applyBorder="0" applyAlignment="0" applyProtection="0"/>
    <xf numFmtId="0" fontId="20" fillId="15"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0" fillId="1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0" fillId="23"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0" fillId="27"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0" fillId="31"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0" fillId="35"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0" fillId="1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0" fillId="16"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0" fillId="20"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0" fillId="2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0" fillId="28"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0" fillId="32"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12" fillId="6" borderId="0" applyNumberFormat="0" applyBorder="0" applyAlignment="0" applyProtection="0"/>
    <xf numFmtId="0" fontId="28" fillId="39" borderId="0" applyNumberFormat="0" applyBorder="0" applyAlignment="0" applyProtection="0"/>
    <xf numFmtId="0" fontId="29" fillId="56" borderId="34" applyNumberFormat="0" applyAlignment="0" applyProtection="0"/>
    <xf numFmtId="0" fontId="15" fillId="9" borderId="27" applyNumberFormat="0" applyAlignment="0" applyProtection="0"/>
    <xf numFmtId="0" fontId="29" fillId="56" borderId="34" applyNumberFormat="0" applyAlignment="0" applyProtection="0"/>
    <xf numFmtId="0" fontId="30" fillId="57" borderId="35" applyNumberFormat="0" applyAlignment="0" applyProtection="0"/>
    <xf numFmtId="0" fontId="17" fillId="10" borderId="30" applyNumberFormat="0" applyAlignment="0" applyProtection="0"/>
    <xf numFmtId="0" fontId="30" fillId="57" borderId="35" applyNumberFormat="0" applyAlignment="0" applyProtection="0"/>
    <xf numFmtId="43" fontId="21" fillId="0" borderId="0" applyFont="0" applyFill="0" applyBorder="0" applyAlignment="0" applyProtection="0"/>
    <xf numFmtId="0" fontId="31" fillId="0" borderId="0" applyNumberFormat="0" applyFill="0" applyBorder="0" applyAlignment="0" applyProtection="0"/>
    <xf numFmtId="0" fontId="19" fillId="0" borderId="0" applyNumberFormat="0" applyFill="0" applyBorder="0" applyAlignment="0" applyProtection="0"/>
    <xf numFmtId="0" fontId="31" fillId="0" borderId="0" applyNumberFormat="0" applyFill="0" applyBorder="0" applyAlignment="0" applyProtection="0"/>
    <xf numFmtId="0" fontId="32" fillId="40" borderId="0" applyNumberFormat="0" applyBorder="0" applyAlignment="0" applyProtection="0"/>
    <xf numFmtId="0" fontId="11" fillId="5" borderId="0" applyNumberFormat="0" applyBorder="0" applyAlignment="0" applyProtection="0"/>
    <xf numFmtId="0" fontId="32" fillId="40" borderId="0" applyNumberFormat="0" applyBorder="0" applyAlignment="0" applyProtection="0"/>
    <xf numFmtId="0" fontId="33" fillId="0" borderId="36" applyNumberFormat="0" applyFill="0" applyAlignment="0" applyProtection="0"/>
    <xf numFmtId="0" fontId="8" fillId="0" borderId="24" applyNumberFormat="0" applyFill="0" applyAlignment="0" applyProtection="0"/>
    <xf numFmtId="0" fontId="33" fillId="0" borderId="36" applyNumberFormat="0" applyFill="0" applyAlignment="0" applyProtection="0"/>
    <xf numFmtId="0" fontId="34" fillId="0" borderId="37" applyNumberFormat="0" applyFill="0" applyAlignment="0" applyProtection="0"/>
    <xf numFmtId="0" fontId="9" fillId="0" borderId="25"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10" fillId="0" borderId="26"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0" fillId="0" borderId="0" applyNumberFormat="0" applyFill="0" applyBorder="0" applyAlignment="0" applyProtection="0"/>
    <xf numFmtId="0" fontId="35" fillId="0" borderId="0" applyNumberFormat="0" applyFill="0" applyBorder="0" applyAlignment="0" applyProtection="0"/>
    <xf numFmtId="0" fontId="36" fillId="43" borderId="34" applyNumberFormat="0" applyAlignment="0" applyProtection="0"/>
    <xf numFmtId="0" fontId="13" fillId="8" borderId="27" applyNumberFormat="0" applyAlignment="0" applyProtection="0"/>
    <xf numFmtId="0" fontId="36" fillId="43" borderId="34" applyNumberFormat="0" applyAlignment="0" applyProtection="0"/>
    <xf numFmtId="0" fontId="37" fillId="0" borderId="39" applyNumberFormat="0" applyFill="0" applyAlignment="0" applyProtection="0"/>
    <xf numFmtId="0" fontId="16" fillId="0" borderId="29" applyNumberFormat="0" applyFill="0" applyAlignment="0" applyProtection="0"/>
    <xf numFmtId="0" fontId="37" fillId="0" borderId="39" applyNumberFormat="0" applyFill="0" applyAlignment="0" applyProtection="0"/>
    <xf numFmtId="0" fontId="38" fillId="58" borderId="0" applyNumberFormat="0" applyBorder="0" applyAlignment="0" applyProtection="0"/>
    <xf numFmtId="0" fontId="26" fillId="7" borderId="0" applyNumberFormat="0" applyBorder="0" applyAlignment="0" applyProtection="0"/>
    <xf numFmtId="0" fontId="38" fillId="58" borderId="0" applyNumberFormat="0" applyBorder="0" applyAlignment="0" applyProtection="0"/>
    <xf numFmtId="0" fontId="21" fillId="0" borderId="0"/>
    <xf numFmtId="0" fontId="7" fillId="0" borderId="0"/>
    <xf numFmtId="0" fontId="21" fillId="0" borderId="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7" fillId="11" borderId="31"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39" fillId="56" borderId="41" applyNumberFormat="0" applyAlignment="0" applyProtection="0"/>
    <xf numFmtId="0" fontId="14" fillId="9" borderId="28" applyNumberFormat="0" applyAlignment="0" applyProtection="0"/>
    <xf numFmtId="0" fontId="39" fillId="56" borderId="41" applyNumberFormat="0" applyAlignment="0" applyProtection="0"/>
    <xf numFmtId="9" fontId="21" fillId="0" borderId="0" applyFon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1" fillId="0" borderId="32" applyNumberFormat="0" applyFill="0" applyAlignment="0" applyProtection="0"/>
    <xf numFmtId="0" fontId="41" fillId="0" borderId="42" applyNumberFormat="0" applyFill="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42" fillId="0" borderId="0" applyNumberFormat="0" applyFill="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20" fillId="12"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43" fontId="21" fillId="0" borderId="0" quotePrefix="1" applyFont="0" applyFill="0" applyBorder="0" applyAlignment="0">
      <protection locked="0"/>
    </xf>
    <xf numFmtId="43" fontId="21" fillId="0" borderId="0" quotePrefix="1" applyFont="0" applyFill="0" applyBorder="0" applyAlignment="0">
      <protection locked="0"/>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quotePrefix="1" applyFont="0" applyFill="0" applyBorder="0" applyAlignment="0">
      <protection locked="0"/>
    </xf>
    <xf numFmtId="43" fontId="21" fillId="0" borderId="0" quotePrefix="1" applyFont="0" applyFill="0" applyBorder="0" applyAlignment="0">
      <protection locked="0"/>
    </xf>
    <xf numFmtId="43" fontId="21" fillId="0" borderId="0" quotePrefix="1" applyFont="0" applyFill="0" applyBorder="0" applyAlignment="0">
      <protection locked="0"/>
    </xf>
    <xf numFmtId="43" fontId="21" fillId="0" borderId="0" quotePrefix="1" applyFont="0" applyFill="0" applyBorder="0" applyAlignment="0">
      <protection locked="0"/>
    </xf>
    <xf numFmtId="43" fontId="21" fillId="0" borderId="0" quotePrefix="1" applyFont="0" applyFill="0" applyBorder="0" applyAlignment="0">
      <protection locked="0"/>
    </xf>
    <xf numFmtId="43" fontId="21" fillId="0" borderId="0" quotePrefix="1" applyFont="0" applyFill="0" applyBorder="0" applyAlignment="0">
      <protection locked="0"/>
    </xf>
    <xf numFmtId="44" fontId="21" fillId="0" borderId="0" quotePrefix="1" applyFont="0" applyFill="0" applyBorder="0" applyAlignment="0">
      <protection locked="0"/>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1" fillId="0" borderId="0" quotePrefix="1" applyFont="0" applyFill="0" applyBorder="0" applyAlignment="0">
      <protection locked="0"/>
    </xf>
    <xf numFmtId="44" fontId="21" fillId="0" borderId="0" quotePrefix="1" applyFont="0" applyFill="0" applyBorder="0" applyAlignment="0">
      <protection locked="0"/>
    </xf>
    <xf numFmtId="44" fontId="21" fillId="0" borderId="0" quotePrefix="1" applyFont="0" applyFill="0" applyBorder="0" applyAlignment="0">
      <protection locked="0"/>
    </xf>
    <xf numFmtId="44" fontId="21" fillId="0" borderId="0" quotePrefix="1" applyFont="0" applyFill="0" applyBorder="0" applyAlignment="0">
      <protection locked="0"/>
    </xf>
    <xf numFmtId="44" fontId="21" fillId="0" borderId="0" quotePrefix="1" applyFont="0" applyFill="0" applyBorder="0" applyAlignment="0">
      <protection locked="0"/>
    </xf>
    <xf numFmtId="0" fontId="8" fillId="0" borderId="24" applyNumberFormat="0" applyFill="0" applyAlignment="0" applyProtection="0"/>
    <xf numFmtId="0" fontId="44" fillId="0" borderId="43" applyNumberFormat="0" applyFill="0" applyAlignment="0" applyProtection="0"/>
    <xf numFmtId="0" fontId="44" fillId="0" borderId="43" applyNumberFormat="0" applyFill="0" applyAlignment="0" applyProtection="0"/>
    <xf numFmtId="0" fontId="44" fillId="0" borderId="43" applyNumberFormat="0" applyFill="0" applyAlignment="0" applyProtection="0"/>
    <xf numFmtId="0" fontId="44" fillId="0" borderId="43" applyNumberFormat="0" applyFill="0" applyAlignment="0" applyProtection="0"/>
    <xf numFmtId="0" fontId="44" fillId="0" borderId="43" applyNumberFormat="0" applyFill="0" applyAlignment="0" applyProtection="0"/>
    <xf numFmtId="0" fontId="44" fillId="0" borderId="43" applyNumberFormat="0" applyFill="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9" fontId="21" fillId="0" borderId="0" quotePrefix="1" applyFont="0" applyFill="0" applyBorder="0" applyAlignment="0">
      <protection locked="0"/>
    </xf>
    <xf numFmtId="0" fontId="25" fillId="0" borderId="0" applyNumberFormat="0" applyFill="0" applyBorder="0" applyAlignment="0" applyProtection="0"/>
    <xf numFmtId="0" fontId="1" fillId="0" borderId="44" applyNumberFormat="0" applyFill="0" applyAlignment="0" applyProtection="0"/>
    <xf numFmtId="0" fontId="7" fillId="0" borderId="0"/>
    <xf numFmtId="0" fontId="23" fillId="59" borderId="40" applyNumberFormat="0" applyFont="0" applyAlignment="0" applyProtection="0"/>
    <xf numFmtId="0" fontId="29" fillId="56" borderId="34" applyNumberFormat="0" applyAlignment="0" applyProtection="0"/>
    <xf numFmtId="0" fontId="29" fillId="56" borderId="34" applyNumberFormat="0" applyAlignment="0" applyProtection="0"/>
    <xf numFmtId="0" fontId="36" fillId="43" borderId="34" applyNumberForma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36" fillId="43" borderId="34" applyNumberFormat="0" applyAlignment="0" applyProtection="0"/>
    <xf numFmtId="0" fontId="23" fillId="59" borderId="40" applyNumberFormat="0" applyFont="0" applyAlignment="0" applyProtection="0"/>
    <xf numFmtId="0" fontId="23" fillId="59" borderId="40" applyNumberFormat="0" applyFont="0" applyAlignment="0" applyProtection="0"/>
    <xf numFmtId="0" fontId="23" fillId="59" borderId="40" applyNumberFormat="0" applyFont="0" applyAlignment="0" applyProtection="0"/>
    <xf numFmtId="0" fontId="39" fillId="56" borderId="41" applyNumberFormat="0" applyAlignment="0" applyProtection="0"/>
    <xf numFmtId="0" fontId="39" fillId="56" borderId="41" applyNumberFormat="0" applyAlignment="0" applyProtection="0"/>
    <xf numFmtId="0" fontId="41" fillId="0" borderId="42" applyNumberFormat="0" applyFill="0" applyAlignment="0" applyProtection="0"/>
    <xf numFmtId="0" fontId="41" fillId="0" borderId="42" applyNumberFormat="0" applyFill="0" applyAlignment="0" applyProtection="0"/>
    <xf numFmtId="0" fontId="1" fillId="0" borderId="44" applyNumberFormat="0" applyFill="0" applyAlignment="0" applyProtection="0"/>
    <xf numFmtId="0" fontId="23" fillId="59" borderId="46" applyNumberFormat="0" applyFont="0" applyAlignment="0" applyProtection="0"/>
    <xf numFmtId="0" fontId="29" fillId="56" borderId="45" applyNumberFormat="0" applyAlignment="0" applyProtection="0"/>
    <xf numFmtId="0" fontId="29" fillId="56" borderId="45" applyNumberFormat="0" applyAlignment="0" applyProtection="0"/>
    <xf numFmtId="0" fontId="36" fillId="43" borderId="45" applyNumberFormat="0" applyAlignment="0" applyProtection="0"/>
    <xf numFmtId="0" fontId="36" fillId="43" borderId="45" applyNumberForma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39" fillId="56" borderId="47" applyNumberFormat="0" applyAlignment="0" applyProtection="0"/>
    <xf numFmtId="0" fontId="39" fillId="56" borderId="47" applyNumberFormat="0" applyAlignment="0" applyProtection="0"/>
    <xf numFmtId="0" fontId="41" fillId="0" borderId="48" applyNumberFormat="0" applyFill="0" applyAlignment="0" applyProtection="0"/>
    <xf numFmtId="0" fontId="41" fillId="0" borderId="48" applyNumberFormat="0" applyFill="0" applyAlignment="0" applyProtection="0"/>
    <xf numFmtId="0" fontId="1" fillId="0" borderId="49" applyNumberFormat="0" applyFill="0" applyAlignment="0" applyProtection="0"/>
    <xf numFmtId="0" fontId="23" fillId="59" borderId="46" applyNumberFormat="0" applyFont="0" applyAlignment="0" applyProtection="0"/>
    <xf numFmtId="0" fontId="29" fillId="56" borderId="45" applyNumberFormat="0" applyAlignment="0" applyProtection="0"/>
    <xf numFmtId="0" fontId="29" fillId="56" borderId="45" applyNumberFormat="0" applyAlignment="0" applyProtection="0"/>
    <xf numFmtId="0" fontId="36" fillId="43" borderId="45" applyNumberForma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36" fillId="43" borderId="45" applyNumberFormat="0" applyAlignment="0" applyProtection="0"/>
    <xf numFmtId="0" fontId="23" fillId="59" borderId="46" applyNumberFormat="0" applyFont="0" applyAlignment="0" applyProtection="0"/>
    <xf numFmtId="0" fontId="23" fillId="59" borderId="46" applyNumberFormat="0" applyFont="0" applyAlignment="0" applyProtection="0"/>
    <xf numFmtId="0" fontId="23" fillId="59" borderId="46" applyNumberFormat="0" applyFont="0" applyAlignment="0" applyProtection="0"/>
    <xf numFmtId="0" fontId="39" fillId="56" borderId="47" applyNumberFormat="0" applyAlignment="0" applyProtection="0"/>
    <xf numFmtId="0" fontId="39" fillId="56" borderId="47" applyNumberFormat="0" applyAlignment="0" applyProtection="0"/>
    <xf numFmtId="0" fontId="41" fillId="0" borderId="48" applyNumberFormat="0" applyFill="0" applyAlignment="0" applyProtection="0"/>
    <xf numFmtId="0" fontId="41" fillId="0" borderId="48" applyNumberFormat="0" applyFill="0" applyAlignment="0" applyProtection="0"/>
    <xf numFmtId="0" fontId="1" fillId="0" borderId="49" applyNumberFormat="0" applyFill="0" applyAlignment="0" applyProtection="0"/>
    <xf numFmtId="9" fontId="7" fillId="0" borderId="0" applyFont="0" applyFill="0" applyBorder="0" applyAlignment="0" applyProtection="0"/>
    <xf numFmtId="0" fontId="95" fillId="0" borderId="0" applyNumberFormat="0" applyFill="0" applyBorder="0" applyAlignment="0" applyProtection="0"/>
  </cellStyleXfs>
  <cellXfs count="1067">
    <xf numFmtId="0" fontId="0" fillId="0" borderId="0" xfId="0"/>
    <xf numFmtId="0" fontId="2" fillId="0" borderId="0" xfId="0" applyFont="1"/>
    <xf numFmtId="0" fontId="2" fillId="0" borderId="13" xfId="0" applyFont="1" applyBorder="1"/>
    <xf numFmtId="0" fontId="2" fillId="0" borderId="8" xfId="0" applyFont="1" applyBorder="1"/>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4" fillId="0" borderId="8" xfId="0" applyFont="1" applyBorder="1"/>
    <xf numFmtId="0" fontId="0" fillId="61" borderId="0" xfId="0" applyFill="1"/>
    <xf numFmtId="0" fontId="46" fillId="0" borderId="0" xfId="0" applyFont="1"/>
    <xf numFmtId="0" fontId="54" fillId="0" borderId="13" xfId="0" applyFont="1" applyBorder="1"/>
    <xf numFmtId="0" fontId="54" fillId="0" borderId="0" xfId="0" applyFont="1"/>
    <xf numFmtId="0" fontId="54" fillId="0" borderId="0" xfId="0" applyFont="1" applyAlignment="1">
      <alignment horizontal="center" vertical="center" wrapText="1"/>
    </xf>
    <xf numFmtId="0" fontId="54" fillId="0" borderId="8" xfId="0" applyFont="1" applyBorder="1"/>
    <xf numFmtId="0" fontId="54" fillId="0" borderId="7" xfId="0" applyFont="1" applyBorder="1"/>
    <xf numFmtId="0" fontId="54" fillId="0" borderId="4" xfId="0" applyFont="1" applyBorder="1"/>
    <xf numFmtId="0" fontId="54" fillId="0" borderId="5" xfId="0" applyFont="1" applyBorder="1"/>
    <xf numFmtId="0" fontId="54" fillId="0" borderId="6" xfId="0" applyFont="1" applyBorder="1"/>
    <xf numFmtId="0" fontId="58" fillId="0" borderId="0" xfId="0" applyFont="1"/>
    <xf numFmtId="0" fontId="54" fillId="0" borderId="0" xfId="0" applyFont="1" applyAlignment="1">
      <alignment horizontal="center" vertical="center"/>
    </xf>
    <xf numFmtId="0" fontId="58" fillId="0" borderId="13" xfId="0" applyFont="1" applyBorder="1"/>
    <xf numFmtId="0" fontId="58" fillId="0" borderId="8" xfId="0" applyFont="1" applyBorder="1"/>
    <xf numFmtId="0" fontId="58" fillId="0" borderId="7" xfId="0" applyFont="1" applyBorder="1" applyAlignment="1">
      <alignment horizontal="left" vertical="center"/>
    </xf>
    <xf numFmtId="0" fontId="58" fillId="0" borderId="0" xfId="0" applyFont="1" applyAlignment="1">
      <alignment horizontal="left" vertical="center" wrapText="1"/>
    </xf>
    <xf numFmtId="0" fontId="58" fillId="0" borderId="8" xfId="0" applyFont="1" applyBorder="1" applyAlignment="1">
      <alignment horizontal="left" vertical="center" wrapText="1"/>
    </xf>
    <xf numFmtId="0" fontId="58" fillId="0" borderId="0" xfId="0" applyFont="1" applyAlignment="1">
      <alignment horizontal="center" vertical="center" wrapText="1"/>
    </xf>
    <xf numFmtId="0" fontId="58" fillId="0" borderId="0" xfId="0" applyFont="1" applyAlignment="1">
      <alignment horizontal="center" vertical="center"/>
    </xf>
    <xf numFmtId="0" fontId="65" fillId="0" borderId="0" xfId="0" applyFont="1" applyAlignment="1">
      <alignment horizontal="left" vertical="center" wrapText="1"/>
    </xf>
    <xf numFmtId="0" fontId="58" fillId="0" borderId="13" xfId="0" applyFont="1" applyBorder="1" applyAlignment="1">
      <alignment horizontal="left" vertical="center" wrapText="1"/>
    </xf>
    <xf numFmtId="0" fontId="63" fillId="0" borderId="0" xfId="0" applyFont="1"/>
    <xf numFmtId="0" fontId="53" fillId="0" borderId="0" xfId="0" applyFont="1" applyAlignment="1">
      <alignment horizontal="center" vertical="center"/>
    </xf>
    <xf numFmtId="0" fontId="65" fillId="0" borderId="0" xfId="0" applyFont="1" applyAlignment="1">
      <alignment horizontal="center" vertical="center" wrapText="1"/>
    </xf>
    <xf numFmtId="0" fontId="58" fillId="0" borderId="21" xfId="0" applyFont="1" applyBorder="1" applyAlignment="1">
      <alignment horizontal="center" vertical="center" wrapText="1"/>
    </xf>
    <xf numFmtId="0" fontId="58" fillId="0" borderId="0" xfId="0" applyFont="1" applyAlignment="1">
      <alignment vertical="center" wrapText="1"/>
    </xf>
    <xf numFmtId="0" fontId="65" fillId="0" borderId="0" xfId="0" applyFont="1" applyAlignment="1">
      <alignment vertical="center" wrapText="1"/>
    </xf>
    <xf numFmtId="0" fontId="54" fillId="0" borderId="7" xfId="0" applyFont="1" applyBorder="1" applyAlignment="1">
      <alignment horizontal="left" vertical="center"/>
    </xf>
    <xf numFmtId="0" fontId="58" fillId="0" borderId="0" xfId="0" applyFont="1" applyAlignment="1">
      <alignment horizontal="center"/>
    </xf>
    <xf numFmtId="0" fontId="54" fillId="0" borderId="7" xfId="0" applyFont="1" applyBorder="1" applyAlignment="1">
      <alignment vertical="center"/>
    </xf>
    <xf numFmtId="0" fontId="54"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58" fillId="0" borderId="13" xfId="0" applyFont="1" applyBorder="1" applyAlignment="1">
      <alignment horizontal="left" vertical="center"/>
    </xf>
    <xf numFmtId="0" fontId="58" fillId="0" borderId="8" xfId="0" applyFont="1" applyBorder="1" applyAlignment="1">
      <alignment horizontal="left" vertical="center"/>
    </xf>
    <xf numFmtId="0" fontId="58" fillId="0" borderId="0" xfId="0" applyFont="1" applyAlignment="1">
      <alignment horizontal="left" vertical="center"/>
    </xf>
    <xf numFmtId="0" fontId="58" fillId="0" borderId="4" xfId="0" applyFont="1" applyBorder="1" applyAlignment="1">
      <alignment horizontal="left" vertical="center"/>
    </xf>
    <xf numFmtId="0" fontId="58" fillId="0" borderId="5" xfId="0" applyFont="1" applyBorder="1"/>
    <xf numFmtId="0" fontId="58" fillId="0" borderId="6" xfId="0" applyFont="1" applyBorder="1" applyAlignment="1">
      <alignment horizontal="left" vertical="center"/>
    </xf>
    <xf numFmtId="0" fontId="58"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58" fillId="0" borderId="0" xfId="0" applyFont="1" applyAlignment="1">
      <alignment horizontal="left"/>
    </xf>
    <xf numFmtId="0" fontId="58" fillId="0" borderId="7" xfId="0" applyFont="1" applyBorder="1" applyAlignment="1">
      <alignment horizontal="center" vertical="center" wrapText="1"/>
      <extLst>
        <ext xmlns:xfpb="http://schemas.microsoft.com/office/spreadsheetml/2022/featurepropertybag" uri="{C7286773-470A-42A8-94C5-96B5CB345126}">
          <xfpb:xfComplement i="0"/>
        </ext>
      </extLst>
    </xf>
    <xf numFmtId="0" fontId="58" fillId="0" borderId="12" xfId="0" applyFont="1" applyBorder="1" applyAlignment="1">
      <alignment horizontal="center" vertical="center"/>
    </xf>
    <xf numFmtId="0" fontId="58" fillId="0" borderId="9" xfId="0" applyFont="1" applyBorder="1" applyAlignment="1">
      <alignment horizontal="center"/>
    </xf>
    <xf numFmtId="0" fontId="54" fillId="0" borderId="0" xfId="0" applyFont="1" applyAlignment="1">
      <alignment horizontal="left" vertical="center" indent="15"/>
    </xf>
    <xf numFmtId="0" fontId="65" fillId="0" borderId="0" xfId="0" applyFont="1"/>
    <xf numFmtId="0" fontId="54" fillId="0" borderId="0" xfId="0" applyFont="1" applyAlignment="1">
      <alignment horizontal="left"/>
    </xf>
    <xf numFmtId="0" fontId="58" fillId="0" borderId="16" xfId="0" applyFont="1" applyBorder="1" applyAlignment="1">
      <alignment horizontal="left" vertical="center" wrapText="1"/>
    </xf>
    <xf numFmtId="0" fontId="58" fillId="0" borderId="4" xfId="0" applyFont="1" applyBorder="1"/>
    <xf numFmtId="0" fontId="58" fillId="0" borderId="5" xfId="0" applyFont="1" applyBorder="1" applyAlignment="1">
      <alignment horizontal="center" vertical="center"/>
    </xf>
    <xf numFmtId="0" fontId="58" fillId="0" borderId="6" xfId="0" applyFont="1" applyBorder="1"/>
    <xf numFmtId="0" fontId="67" fillId="0" borderId="0" xfId="0" applyFont="1"/>
    <xf numFmtId="0" fontId="67" fillId="0" borderId="0" xfId="0" applyFont="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67" fillId="0" borderId="0" xfId="0" applyFont="1" applyAlignment="1">
      <alignment horizontal="center"/>
    </xf>
    <xf numFmtId="0" fontId="67" fillId="0" borderId="5" xfId="0" applyFont="1" applyBorder="1"/>
    <xf numFmtId="0" fontId="54" fillId="0" borderId="0" xfId="0" applyFont="1" applyAlignment="1">
      <alignment horizontal="left" vertical="center"/>
    </xf>
    <xf numFmtId="0" fontId="54" fillId="0" borderId="5" xfId="0" applyFont="1" applyBorder="1" applyAlignment="1">
      <alignment horizontal="center" vertical="center"/>
    </xf>
    <xf numFmtId="1" fontId="54" fillId="0" borderId="0" xfId="0" applyNumberFormat="1" applyFont="1" applyAlignment="1">
      <alignment horizontal="center" vertical="center"/>
    </xf>
    <xf numFmtId="0" fontId="72" fillId="0" borderId="0" xfId="0" applyFont="1"/>
    <xf numFmtId="0" fontId="67" fillId="0" borderId="0" xfId="0" applyFont="1" applyAlignment="1">
      <alignment vertical="center"/>
    </xf>
    <xf numFmtId="0" fontId="72" fillId="0" borderId="5" xfId="0" applyFont="1" applyBorder="1"/>
    <xf numFmtId="0" fontId="47" fillId="0" borderId="0" xfId="0" applyFont="1"/>
    <xf numFmtId="0" fontId="47" fillId="0" borderId="13" xfId="0" applyFont="1" applyBorder="1"/>
    <xf numFmtId="0" fontId="47" fillId="0" borderId="8" xfId="0" applyFont="1" applyBorder="1"/>
    <xf numFmtId="0" fontId="47" fillId="0" borderId="8" xfId="0" applyFont="1" applyBorder="1" applyAlignment="1">
      <alignment horizontal="left" vertical="center" wrapText="1"/>
    </xf>
    <xf numFmtId="0" fontId="47" fillId="0" borderId="13" xfId="0" applyFont="1" applyBorder="1" applyAlignment="1">
      <alignment horizontal="left" vertical="center" wrapText="1"/>
    </xf>
    <xf numFmtId="0" fontId="46" fillId="0" borderId="13" xfId="0" applyFont="1" applyBorder="1"/>
    <xf numFmtId="0" fontId="46" fillId="0" borderId="8" xfId="0" applyFont="1" applyBorder="1"/>
    <xf numFmtId="0" fontId="58" fillId="0" borderId="10" xfId="0" applyFont="1" applyBorder="1" applyAlignment="1">
      <alignment horizontal="center" vertical="center"/>
    </xf>
    <xf numFmtId="0" fontId="46" fillId="0" borderId="4" xfId="0" applyFont="1" applyBorder="1"/>
    <xf numFmtId="0" fontId="46" fillId="0" borderId="5" xfId="0" applyFont="1" applyBorder="1"/>
    <xf numFmtId="0" fontId="46" fillId="0" borderId="6" xfId="0" applyFont="1" applyBorder="1"/>
    <xf numFmtId="0" fontId="56" fillId="0" borderId="0" xfId="0" applyFont="1"/>
    <xf numFmtId="0" fontId="56" fillId="0" borderId="8" xfId="0" applyFont="1" applyBorder="1" applyAlignment="1">
      <alignment vertical="center"/>
    </xf>
    <xf numFmtId="0" fontId="54" fillId="0" borderId="5" xfId="0" applyFont="1" applyBorder="1" applyAlignment="1">
      <alignment horizontal="left" vertical="center"/>
    </xf>
    <xf numFmtId="0" fontId="0" fillId="0" borderId="13" xfId="0" applyBorder="1"/>
    <xf numFmtId="0" fontId="0" fillId="0" borderId="8" xfId="0" applyBorder="1"/>
    <xf numFmtId="0" fontId="0" fillId="0" borderId="4" xfId="0" applyBorder="1"/>
    <xf numFmtId="0" fontId="0" fillId="0" borderId="5" xfId="0" applyBorder="1"/>
    <xf numFmtId="0" fontId="0" fillId="0" borderId="6" xfId="0" applyBorder="1"/>
    <xf numFmtId="0" fontId="58" fillId="0" borderId="22" xfId="0" applyFont="1" applyBorder="1" applyAlignment="1">
      <alignment vertical="center"/>
      <extLst>
        <ext xmlns:xfpb="http://schemas.microsoft.com/office/spreadsheetml/2022/featurepropertybag" uri="{C7286773-470A-42A8-94C5-96B5CB345126}">
          <xfpb:xfComplement i="0"/>
        </ext>
      </extLst>
    </xf>
    <xf numFmtId="0" fontId="83" fillId="0" borderId="0" xfId="0" applyFont="1" applyAlignment="1">
      <alignment horizontal="center" vertical="center"/>
    </xf>
    <xf numFmtId="0" fontId="53" fillId="0" borderId="0" xfId="0" applyFont="1" applyAlignment="1">
      <alignment horizontal="center" vertical="center" wrapText="1"/>
    </xf>
    <xf numFmtId="0" fontId="46" fillId="61" borderId="0" xfId="0" applyFont="1" applyFill="1"/>
    <xf numFmtId="0" fontId="54" fillId="61" borderId="0" xfId="0" applyFont="1" applyFill="1"/>
    <xf numFmtId="0" fontId="54" fillId="0" borderId="58" xfId="0" applyFont="1" applyBorder="1"/>
    <xf numFmtId="0" fontId="54" fillId="0" borderId="60" xfId="0" applyFont="1" applyBorder="1"/>
    <xf numFmtId="0" fontId="54" fillId="0" borderId="62" xfId="0" applyFont="1" applyBorder="1"/>
    <xf numFmtId="0" fontId="58" fillId="61" borderId="0" xfId="0" applyFont="1" applyFill="1"/>
    <xf numFmtId="0" fontId="67" fillId="61" borderId="0" xfId="0" applyFont="1" applyFill="1"/>
    <xf numFmtId="0" fontId="58" fillId="61" borderId="0" xfId="0" applyFont="1" applyFill="1" applyAlignment="1">
      <alignment horizontal="center" vertical="center"/>
    </xf>
    <xf numFmtId="0" fontId="62" fillId="61" borderId="0" xfId="0" applyFont="1" applyFill="1" applyAlignment="1">
      <alignment horizontal="center" vertical="center"/>
    </xf>
    <xf numFmtId="0" fontId="64" fillId="61" borderId="0" xfId="0" applyFont="1" applyFill="1" applyAlignment="1">
      <alignment horizontal="center" vertical="center"/>
    </xf>
    <xf numFmtId="0" fontId="58" fillId="61" borderId="0" xfId="0" applyFont="1" applyFill="1" applyAlignment="1">
      <alignment horizontal="left" vertical="center" wrapText="1"/>
    </xf>
    <xf numFmtId="0" fontId="58" fillId="61" borderId="0" xfId="0" applyFont="1" applyFill="1" applyAlignment="1">
      <alignment horizontal="left" vertical="center"/>
    </xf>
    <xf numFmtId="0" fontId="85" fillId="61" borderId="0" xfId="0" applyFont="1" applyFill="1" applyAlignment="1">
      <alignment horizontal="center" vertical="center"/>
    </xf>
    <xf numFmtId="0" fontId="85" fillId="61" borderId="0" xfId="0" applyFont="1" applyFill="1"/>
    <xf numFmtId="0" fontId="86" fillId="61" borderId="0" xfId="0" applyFont="1" applyFill="1" applyAlignment="1">
      <alignment horizontal="center" vertical="center"/>
    </xf>
    <xf numFmtId="0" fontId="86" fillId="61" borderId="0" xfId="0" applyFont="1" applyFill="1" applyAlignment="1">
      <alignment vertical="center"/>
    </xf>
    <xf numFmtId="0" fontId="86" fillId="61" borderId="50" xfId="0" applyFont="1" applyFill="1" applyBorder="1" applyAlignment="1">
      <alignment horizontal="center" vertical="center"/>
    </xf>
    <xf numFmtId="0" fontId="86" fillId="61" borderId="15" xfId="0" applyFont="1" applyFill="1" applyBorder="1" applyAlignment="1">
      <alignment horizontal="center" vertical="center"/>
    </xf>
    <xf numFmtId="0" fontId="86" fillId="61" borderId="0" xfId="0" applyFont="1" applyFill="1" applyAlignment="1">
      <alignment horizontal="center"/>
    </xf>
    <xf numFmtId="0" fontId="86" fillId="61" borderId="20" xfId="0" applyFont="1" applyFill="1" applyBorder="1" applyAlignment="1">
      <alignment horizontal="center" vertical="center"/>
    </xf>
    <xf numFmtId="0" fontId="85" fillId="61" borderId="18" xfId="0" applyFont="1" applyFill="1" applyBorder="1" applyAlignment="1">
      <alignment horizontal="center" vertical="center"/>
    </xf>
    <xf numFmtId="0" fontId="85" fillId="61" borderId="19" xfId="0" applyFont="1" applyFill="1" applyBorder="1" applyAlignment="1">
      <alignment horizontal="center" vertical="center"/>
    </xf>
    <xf numFmtId="0" fontId="85" fillId="61" borderId="50" xfId="0" applyFont="1" applyFill="1" applyBorder="1" applyAlignment="1">
      <alignment horizontal="center" vertical="center" wrapText="1"/>
    </xf>
    <xf numFmtId="0" fontId="85" fillId="61" borderId="15" xfId="0" applyFont="1" applyFill="1" applyBorder="1" applyAlignment="1">
      <alignment horizontal="center" vertical="center" wrapText="1"/>
    </xf>
    <xf numFmtId="0" fontId="85" fillId="61" borderId="7" xfId="0" applyFont="1" applyFill="1" applyBorder="1" applyAlignment="1">
      <alignment horizontal="center" vertical="center"/>
    </xf>
    <xf numFmtId="0" fontId="85" fillId="61" borderId="16" xfId="0" applyFont="1" applyFill="1" applyBorder="1" applyAlignment="1">
      <alignment horizontal="center" vertical="center" wrapText="1"/>
    </xf>
    <xf numFmtId="0" fontId="85" fillId="61" borderId="17" xfId="0" applyFont="1" applyFill="1" applyBorder="1" applyAlignment="1">
      <alignment horizontal="center" vertical="center" wrapText="1"/>
    </xf>
    <xf numFmtId="0" fontId="85" fillId="61" borderId="0" xfId="0" applyFont="1" applyFill="1" applyAlignment="1">
      <alignment vertical="center"/>
    </xf>
    <xf numFmtId="0" fontId="85" fillId="61" borderId="18" xfId="0" applyFont="1" applyFill="1" applyBorder="1" applyAlignment="1">
      <alignment horizontal="center" vertical="center" wrapText="1"/>
    </xf>
    <xf numFmtId="0" fontId="86" fillId="61" borderId="23" xfId="0" applyFont="1" applyFill="1" applyBorder="1" applyAlignment="1">
      <alignment horizontal="center" vertical="center"/>
    </xf>
    <xf numFmtId="0" fontId="85" fillId="61" borderId="0" xfId="0" applyFont="1" applyFill="1" applyAlignment="1">
      <alignment horizontal="center" vertical="center" wrapText="1"/>
    </xf>
    <xf numFmtId="0" fontId="85" fillId="61" borderId="15" xfId="0" applyFont="1" applyFill="1" applyBorder="1" applyAlignment="1">
      <alignment horizontal="center" vertical="center"/>
    </xf>
    <xf numFmtId="0" fontId="85" fillId="61" borderId="17" xfId="0" applyFont="1" applyFill="1" applyBorder="1" applyAlignment="1">
      <alignment horizontal="center" vertical="center"/>
    </xf>
    <xf numFmtId="0" fontId="85" fillId="61" borderId="16" xfId="0" applyFont="1" applyFill="1" applyBorder="1" applyAlignment="1">
      <alignment horizontal="center" vertical="center"/>
    </xf>
    <xf numFmtId="0" fontId="85" fillId="61" borderId="0" xfId="0" applyFont="1" applyFill="1" applyAlignment="1">
      <alignment horizontal="left" vertical="center"/>
    </xf>
    <xf numFmtId="0" fontId="85" fillId="61" borderId="19" xfId="0" applyFont="1" applyFill="1" applyBorder="1" applyAlignment="1">
      <alignment horizontal="center" vertical="center" wrapText="1"/>
    </xf>
    <xf numFmtId="0" fontId="86" fillId="61" borderId="23" xfId="0" applyFont="1" applyFill="1" applyBorder="1" applyAlignment="1">
      <alignment horizontal="center" vertical="center" wrapText="1"/>
    </xf>
    <xf numFmtId="0" fontId="85" fillId="61" borderId="23" xfId="0" applyFont="1" applyFill="1" applyBorder="1" applyAlignment="1">
      <alignment horizontal="center" vertical="center" wrapText="1"/>
    </xf>
    <xf numFmtId="0" fontId="85" fillId="61" borderId="14" xfId="0" applyFont="1" applyFill="1" applyBorder="1" applyAlignment="1">
      <alignment horizontal="center" vertical="center"/>
    </xf>
    <xf numFmtId="0" fontId="85" fillId="61" borderId="23" xfId="0" applyFont="1" applyFill="1" applyBorder="1" applyAlignment="1">
      <alignment horizontal="center" vertical="center"/>
    </xf>
    <xf numFmtId="0" fontId="72" fillId="61" borderId="0" xfId="0" applyFont="1" applyFill="1"/>
    <xf numFmtId="0" fontId="54" fillId="61" borderId="0" xfId="0" applyFont="1" applyFill="1" applyAlignment="1">
      <alignment horizontal="center" vertical="center"/>
    </xf>
    <xf numFmtId="0" fontId="85" fillId="61" borderId="50" xfId="0" applyFont="1" applyFill="1" applyBorder="1" applyAlignment="1">
      <alignment horizontal="center" vertical="center"/>
    </xf>
    <xf numFmtId="0" fontId="72" fillId="61" borderId="0" xfId="0" applyFont="1" applyFill="1" applyAlignment="1">
      <alignment vertical="center"/>
    </xf>
    <xf numFmtId="0" fontId="54" fillId="0" borderId="64" xfId="0" applyFont="1" applyBorder="1" applyAlignment="1">
      <alignment horizontal="center" vertical="center"/>
      <extLst>
        <ext xmlns:xfpb="http://schemas.microsoft.com/office/spreadsheetml/2022/featurepropertybag" uri="{C7286773-470A-42A8-94C5-96B5CB345126}">
          <xfpb:xfComplement i="0"/>
        </ext>
      </extLst>
    </xf>
    <xf numFmtId="0" fontId="67" fillId="0" borderId="68" xfId="0" applyFont="1" applyBorder="1" applyAlignment="1">
      <alignment vertical="center"/>
    </xf>
    <xf numFmtId="0" fontId="54" fillId="0" borderId="0" xfId="0" applyFont="1" applyAlignment="1">
      <alignment vertical="center" wrapText="1"/>
    </xf>
    <xf numFmtId="0" fontId="82" fillId="61" borderId="0" xfId="0" applyFont="1" applyFill="1" applyAlignment="1">
      <alignment horizontal="center" vertical="center"/>
    </xf>
    <xf numFmtId="0" fontId="86" fillId="61" borderId="11" xfId="0" applyFont="1" applyFill="1" applyBorder="1" applyAlignment="1">
      <alignment horizontal="center" vertical="center"/>
    </xf>
    <xf numFmtId="0" fontId="86" fillId="61" borderId="22" xfId="0" applyFont="1" applyFill="1" applyBorder="1" applyAlignment="1">
      <alignment horizontal="center" vertical="center"/>
    </xf>
    <xf numFmtId="0" fontId="85" fillId="61" borderId="0" xfId="0" applyFont="1" applyFill="1" applyAlignment="1">
      <alignment horizontal="center"/>
    </xf>
    <xf numFmtId="0" fontId="85" fillId="61" borderId="23" xfId="0" applyFont="1" applyFill="1" applyBorder="1" applyAlignment="1">
      <alignment horizontal="center"/>
    </xf>
    <xf numFmtId="0" fontId="5" fillId="61" borderId="0" xfId="0" applyFont="1" applyFill="1" applyAlignment="1">
      <alignment horizontal="center" vertical="center"/>
    </xf>
    <xf numFmtId="0" fontId="2" fillId="61" borderId="0" xfId="0" applyFont="1" applyFill="1"/>
    <xf numFmtId="0" fontId="2" fillId="61" borderId="0" xfId="0" applyFont="1" applyFill="1" applyAlignment="1">
      <alignment horizontal="left" vertical="center" wrapText="1"/>
    </xf>
    <xf numFmtId="0" fontId="54" fillId="61" borderId="0" xfId="0" applyFont="1" applyFill="1" applyAlignment="1">
      <alignment horizontal="left" vertical="center"/>
    </xf>
    <xf numFmtId="0" fontId="85" fillId="61" borderId="17" xfId="0" applyFont="1" applyFill="1" applyBorder="1" applyAlignment="1">
      <alignment horizontal="center"/>
    </xf>
    <xf numFmtId="0" fontId="85" fillId="61" borderId="16" xfId="0" applyFont="1" applyFill="1" applyBorder="1" applyAlignment="1">
      <alignment horizontal="center"/>
    </xf>
    <xf numFmtId="0" fontId="85" fillId="61" borderId="19" xfId="0" applyFont="1" applyFill="1" applyBorder="1" applyAlignment="1">
      <alignment horizontal="center"/>
    </xf>
    <xf numFmtId="0" fontId="54" fillId="0" borderId="1" xfId="0" applyFont="1" applyBorder="1"/>
    <xf numFmtId="0" fontId="54" fillId="0" borderId="2" xfId="0" applyFont="1" applyBorder="1"/>
    <xf numFmtId="0" fontId="54" fillId="0" borderId="2" xfId="0" applyFont="1" applyBorder="1" applyAlignment="1">
      <alignment wrapText="1"/>
    </xf>
    <xf numFmtId="0" fontId="54" fillId="0" borderId="3" xfId="0" applyFont="1" applyBorder="1" applyAlignment="1">
      <alignment wrapText="1"/>
    </xf>
    <xf numFmtId="0" fontId="54" fillId="0" borderId="8" xfId="0" applyFont="1" applyBorder="1" applyAlignment="1">
      <alignment wrapText="1"/>
    </xf>
    <xf numFmtId="0" fontId="57" fillId="0" borderId="0" xfId="0" applyFont="1"/>
    <xf numFmtId="0" fontId="54" fillId="0" borderId="64" xfId="0" applyFont="1" applyBorder="1"/>
    <xf numFmtId="0" fontId="57" fillId="0" borderId="0" xfId="0" applyFont="1" applyAlignment="1">
      <alignment horizontal="center" vertical="center"/>
    </xf>
    <xf numFmtId="0" fontId="54" fillId="0" borderId="64" xfId="0" applyFont="1" applyBorder="1">
      <extLst>
        <ext xmlns:xfpb="http://schemas.microsoft.com/office/spreadsheetml/2022/featurepropertybag" uri="{C7286773-470A-42A8-94C5-96B5CB345126}">
          <xfpb:xfComplement i="0"/>
        </ext>
      </extLst>
    </xf>
    <xf numFmtId="0" fontId="52" fillId="2" borderId="13" xfId="0" applyFont="1" applyFill="1" applyBorder="1"/>
    <xf numFmtId="0" fontId="50" fillId="2" borderId="8" xfId="0" applyFont="1" applyFill="1" applyBorder="1"/>
    <xf numFmtId="0" fontId="50" fillId="2" borderId="13" xfId="0" applyFont="1" applyFill="1" applyBorder="1"/>
    <xf numFmtId="0" fontId="46" fillId="2" borderId="13" xfId="0" applyFont="1" applyFill="1" applyBorder="1"/>
    <xf numFmtId="0" fontId="47" fillId="2" borderId="8" xfId="0" applyFont="1" applyFill="1" applyBorder="1" applyAlignment="1">
      <alignment vertical="center" wrapText="1"/>
    </xf>
    <xf numFmtId="0" fontId="48" fillId="2" borderId="13" xfId="0" applyFont="1" applyFill="1" applyBorder="1" applyAlignment="1">
      <alignment horizontal="left"/>
    </xf>
    <xf numFmtId="0" fontId="46" fillId="2" borderId="13" xfId="0" applyFont="1" applyFill="1" applyBorder="1" applyAlignment="1">
      <alignment horizontal="left"/>
    </xf>
    <xf numFmtId="0" fontId="0" fillId="2" borderId="8" xfId="0" applyFill="1" applyBorder="1"/>
    <xf numFmtId="0" fontId="0" fillId="2" borderId="13" xfId="0" applyFill="1" applyBorder="1"/>
    <xf numFmtId="0" fontId="0" fillId="2" borderId="4" xfId="0" applyFill="1" applyBorder="1"/>
    <xf numFmtId="0" fontId="0" fillId="2" borderId="5" xfId="0" applyFill="1" applyBorder="1"/>
    <xf numFmtId="0" fontId="58" fillId="3" borderId="0" xfId="0" applyFont="1" applyFill="1"/>
    <xf numFmtId="0" fontId="62" fillId="3" borderId="0" xfId="0" applyFont="1" applyFill="1" applyAlignment="1">
      <alignment horizontal="center" vertical="center"/>
    </xf>
    <xf numFmtId="0" fontId="58" fillId="3" borderId="0" xfId="0" applyFont="1" applyFill="1" applyAlignment="1">
      <alignment horizontal="left" vertical="center" wrapText="1"/>
    </xf>
    <xf numFmtId="0" fontId="58" fillId="3" borderId="0" xfId="0" applyFont="1" applyFill="1" applyAlignment="1">
      <alignment horizontal="left" vertical="center"/>
    </xf>
    <xf numFmtId="0" fontId="54" fillId="3" borderId="0" xfId="0" applyFont="1" applyFill="1"/>
    <xf numFmtId="0" fontId="47" fillId="3" borderId="0" xfId="0" applyFont="1" applyFill="1"/>
    <xf numFmtId="0" fontId="46" fillId="3" borderId="0" xfId="0" applyFont="1" applyFill="1"/>
    <xf numFmtId="0" fontId="2" fillId="3" borderId="0" xfId="0" applyFont="1" applyFill="1"/>
    <xf numFmtId="0" fontId="0" fillId="3" borderId="0" xfId="0" applyFill="1"/>
    <xf numFmtId="0" fontId="86" fillId="61" borderId="67" xfId="0" applyFont="1" applyFill="1" applyBorder="1" applyAlignment="1">
      <alignment horizontal="center" vertical="center"/>
    </xf>
    <xf numFmtId="0" fontId="86" fillId="61" borderId="69" xfId="0" applyFont="1" applyFill="1" applyBorder="1" applyAlignment="1">
      <alignment horizontal="center" vertical="center"/>
    </xf>
    <xf numFmtId="0" fontId="67" fillId="0" borderId="0" xfId="0" applyFont="1" applyAlignment="1">
      <alignment horizontal="left" vertical="center"/>
    </xf>
    <xf numFmtId="0" fontId="54" fillId="0" borderId="7" xfId="0" applyFont="1" applyBorder="1" applyAlignment="1">
      <alignment horizontal="left" vertical="center" wrapText="1"/>
    </xf>
    <xf numFmtId="0" fontId="67" fillId="0" borderId="9" xfId="0" applyFont="1" applyBorder="1" applyAlignment="1">
      <alignment vertical="center"/>
    </xf>
    <xf numFmtId="0" fontId="58" fillId="0" borderId="64" xfId="0" applyFont="1" applyBorder="1" applyAlignment="1">
      <alignment vertical="center"/>
      <extLst>
        <ext xmlns:xfpb="http://schemas.microsoft.com/office/spreadsheetml/2022/featurepropertybag" uri="{C7286773-470A-42A8-94C5-96B5CB345126}">
          <xfpb:xfComplement i="0"/>
        </ext>
      </extLst>
    </xf>
    <xf numFmtId="0" fontId="58" fillId="0" borderId="64" xfId="0" applyFont="1" applyBorder="1" applyAlignment="1">
      <alignment horizontal="center" vertical="center"/>
      <extLst>
        <ext xmlns:xfpb="http://schemas.microsoft.com/office/spreadsheetml/2022/featurepropertybag" uri="{C7286773-470A-42A8-94C5-96B5CB345126}">
          <xfpb:xfComplement i="0"/>
        </ext>
      </extLst>
    </xf>
    <xf numFmtId="0" fontId="85" fillId="61" borderId="67" xfId="0" applyFont="1" applyFill="1" applyBorder="1" applyAlignment="1">
      <alignment horizontal="center" vertical="center"/>
    </xf>
    <xf numFmtId="0" fontId="85" fillId="61" borderId="69" xfId="0" applyFont="1" applyFill="1" applyBorder="1" applyAlignment="1">
      <alignment horizontal="center" vertical="center"/>
    </xf>
    <xf numFmtId="0" fontId="85" fillId="61" borderId="64" xfId="0" applyFont="1" applyFill="1" applyBorder="1" applyAlignment="1">
      <alignment horizontal="center" vertical="center"/>
    </xf>
    <xf numFmtId="0" fontId="85" fillId="61" borderId="10" xfId="0" applyFont="1" applyFill="1" applyBorder="1" applyAlignment="1">
      <alignment horizontal="center" vertical="center"/>
    </xf>
    <xf numFmtId="0" fontId="54" fillId="0" borderId="65" xfId="0" applyFont="1" applyBorder="1" applyAlignment="1">
      <alignment vertical="center"/>
    </xf>
    <xf numFmtId="0" fontId="54" fillId="0" borderId="64" xfId="0" applyFont="1" applyBorder="1" applyAlignment="1">
      <alignment vertical="center"/>
    </xf>
    <xf numFmtId="0" fontId="58" fillId="0" borderId="61" xfId="0" applyFont="1" applyBorder="1"/>
    <xf numFmtId="0" fontId="58" fillId="0" borderId="75" xfId="0" applyFont="1" applyBorder="1"/>
    <xf numFmtId="0" fontId="58" fillId="0" borderId="7" xfId="0" applyFont="1" applyBorder="1" applyAlignment="1">
      <alignment horizontal="center"/>
    </xf>
    <xf numFmtId="0" fontId="58" fillId="0" borderId="7" xfId="0" applyFont="1" applyBorder="1" applyAlignment="1">
      <alignment horizontal="center" vertical="center"/>
    </xf>
    <xf numFmtId="0" fontId="58" fillId="0" borderId="7" xfId="0" applyFont="1" applyBorder="1"/>
    <xf numFmtId="14" fontId="80" fillId="2" borderId="6" xfId="0" applyNumberFormat="1" applyFont="1" applyFill="1" applyBorder="1"/>
    <xf numFmtId="0" fontId="85" fillId="61" borderId="0" xfId="0" applyFont="1" applyFill="1" applyAlignment="1">
      <alignment horizontal="left" vertical="center" wrapText="1"/>
    </xf>
    <xf numFmtId="0" fontId="86" fillId="61" borderId="70" xfId="0" applyFont="1" applyFill="1" applyBorder="1" applyAlignment="1">
      <alignment horizontal="center" vertical="center"/>
    </xf>
    <xf numFmtId="0" fontId="85" fillId="61" borderId="67" xfId="0" applyFont="1" applyFill="1" applyBorder="1" applyAlignment="1">
      <alignment horizontal="center" vertical="center" wrapText="1"/>
    </xf>
    <xf numFmtId="0" fontId="85" fillId="61" borderId="17" xfId="0" applyFont="1" applyFill="1" applyBorder="1"/>
    <xf numFmtId="0" fontId="85" fillId="61" borderId="16" xfId="0" applyFont="1" applyFill="1" applyBorder="1"/>
    <xf numFmtId="0" fontId="85" fillId="61" borderId="13" xfId="0" applyFont="1" applyFill="1" applyBorder="1"/>
    <xf numFmtId="0" fontId="85" fillId="61" borderId="78" xfId="0" applyFont="1" applyFill="1" applyBorder="1" applyAlignment="1">
      <alignment horizontal="center" vertical="center"/>
    </xf>
    <xf numFmtId="0" fontId="85" fillId="61" borderId="9" xfId="0" applyFont="1" applyFill="1" applyBorder="1" applyAlignment="1">
      <alignment horizontal="center" vertical="center"/>
    </xf>
    <xf numFmtId="0" fontId="85" fillId="61" borderId="69" xfId="0" applyFont="1" applyFill="1" applyBorder="1" applyAlignment="1">
      <alignment horizontal="center" vertical="center" wrapText="1"/>
    </xf>
    <xf numFmtId="2" fontId="86" fillId="61" borderId="64" xfId="0" applyNumberFormat="1" applyFont="1" applyFill="1" applyBorder="1" applyAlignment="1">
      <alignment horizontal="center" vertical="center"/>
    </xf>
    <xf numFmtId="2" fontId="86" fillId="61" borderId="0" xfId="0" applyNumberFormat="1" applyFont="1" applyFill="1" applyAlignment="1">
      <alignment horizontal="center" vertical="center"/>
    </xf>
    <xf numFmtId="2" fontId="86" fillId="61" borderId="68" xfId="0" applyNumberFormat="1" applyFont="1" applyFill="1" applyBorder="1" applyAlignment="1">
      <alignment horizontal="center" vertical="center"/>
    </xf>
    <xf numFmtId="0" fontId="86" fillId="61" borderId="76" xfId="0" applyFont="1" applyFill="1" applyBorder="1" applyAlignment="1">
      <alignment horizontal="center" vertical="center"/>
    </xf>
    <xf numFmtId="0" fontId="86" fillId="61" borderId="77" xfId="0" applyFont="1" applyFill="1" applyBorder="1" applyAlignment="1">
      <alignment horizontal="center" vertical="center"/>
    </xf>
    <xf numFmtId="0" fontId="58" fillId="0" borderId="64" xfId="0" applyFont="1" applyBorder="1"/>
    <xf numFmtId="0" fontId="58" fillId="0" borderId="64" xfId="0" applyFont="1" applyBorder="1">
      <extLst>
        <ext xmlns:xfpb="http://schemas.microsoft.com/office/spreadsheetml/2022/featurepropertybag" uri="{C7286773-470A-42A8-94C5-96B5CB345126}">
          <xfpb:xfComplement i="0"/>
        </ext>
      </extLst>
    </xf>
    <xf numFmtId="0" fontId="63" fillId="2" borderId="13" xfId="0" applyFont="1" applyFill="1" applyBorder="1" applyAlignment="1">
      <alignment horizontal="left"/>
    </xf>
    <xf numFmtId="0" fontId="54" fillId="0" borderId="0" xfId="0" applyFont="1" applyAlignment="1">
      <alignment horizontal="left" vertical="center" wrapText="1"/>
    </xf>
    <xf numFmtId="0" fontId="85" fillId="61" borderId="0" xfId="0" applyFont="1" applyFill="1" applyAlignment="1" applyProtection="1">
      <alignment vertical="center" wrapText="1"/>
      <protection hidden="1"/>
    </xf>
    <xf numFmtId="0" fontId="65" fillId="0" borderId="85" xfId="0" applyFont="1" applyBorder="1" applyAlignment="1">
      <alignment vertical="center" wrapText="1"/>
    </xf>
    <xf numFmtId="0" fontId="54" fillId="0" borderId="66" xfId="0" applyFont="1" applyBorder="1" applyAlignment="1">
      <alignment horizontal="left" vertical="center"/>
    </xf>
    <xf numFmtId="0" fontId="54" fillId="0" borderId="65" xfId="0" applyFont="1" applyBorder="1" applyAlignment="1">
      <alignment horizontal="left" vertical="center"/>
    </xf>
    <xf numFmtId="0" fontId="47" fillId="2" borderId="8" xfId="0" applyFont="1" applyFill="1" applyBorder="1" applyAlignment="1">
      <alignment vertical="top" wrapText="1"/>
    </xf>
    <xf numFmtId="0" fontId="54" fillId="61" borderId="0" xfId="0" applyFont="1" applyFill="1" applyAlignment="1">
      <alignment horizontal="left" vertical="center" wrapText="1"/>
    </xf>
    <xf numFmtId="0" fontId="54" fillId="0" borderId="5" xfId="0" applyFont="1" applyBorder="1" applyAlignment="1">
      <alignment horizontal="left" vertical="center" wrapText="1"/>
    </xf>
    <xf numFmtId="0" fontId="58" fillId="0" borderId="5" xfId="0" applyFont="1" applyBorder="1" applyAlignment="1">
      <alignment horizontal="left" vertical="center"/>
    </xf>
    <xf numFmtId="0" fontId="67" fillId="61" borderId="0" xfId="0" applyFont="1" applyFill="1" applyAlignment="1">
      <alignment horizontal="left"/>
    </xf>
    <xf numFmtId="0" fontId="67" fillId="0" borderId="0" xfId="0" applyFont="1" applyAlignment="1">
      <alignment horizontal="left"/>
    </xf>
    <xf numFmtId="0" fontId="63" fillId="0" borderId="0" xfId="0" applyFont="1" applyAlignment="1">
      <alignment horizontal="left"/>
    </xf>
    <xf numFmtId="0" fontId="67" fillId="0" borderId="0" xfId="0" applyFont="1" applyAlignment="1">
      <alignment horizontal="left" vertical="center" wrapText="1"/>
    </xf>
    <xf numFmtId="0" fontId="67" fillId="0" borderId="12" xfId="0" applyFont="1" applyBorder="1" applyAlignment="1">
      <alignment horizontal="left"/>
    </xf>
    <xf numFmtId="0" fontId="67" fillId="0" borderId="9" xfId="0" applyFont="1" applyBorder="1" applyAlignment="1">
      <alignment horizontal="left"/>
    </xf>
    <xf numFmtId="0" fontId="67" fillId="0" borderId="0" xfId="0" applyFont="1" applyAlignment="1">
      <alignment horizontal="left" wrapText="1"/>
    </xf>
    <xf numFmtId="0" fontId="67" fillId="0" borderId="5" xfId="0" applyFont="1" applyBorder="1" applyAlignment="1">
      <alignment horizontal="left"/>
    </xf>
    <xf numFmtId="0" fontId="72" fillId="61" borderId="0" xfId="0" applyFont="1" applyFill="1" applyAlignment="1">
      <alignment horizontal="left"/>
    </xf>
    <xf numFmtId="0" fontId="72" fillId="0" borderId="0" xfId="0" applyFont="1" applyAlignment="1">
      <alignment horizontal="left"/>
    </xf>
    <xf numFmtId="0" fontId="72" fillId="0" borderId="5" xfId="0" applyFont="1" applyBorder="1" applyAlignment="1">
      <alignment horizontal="left"/>
    </xf>
    <xf numFmtId="0" fontId="72" fillId="61" borderId="0" xfId="0" applyFont="1" applyFill="1" applyAlignment="1">
      <alignment horizontal="left" vertical="center"/>
    </xf>
    <xf numFmtId="0" fontId="82" fillId="61" borderId="0" xfId="0" applyFont="1" applyFill="1" applyAlignment="1">
      <alignment horizontal="left" vertical="center"/>
    </xf>
    <xf numFmtId="0" fontId="82" fillId="61" borderId="0" xfId="0" applyFont="1" applyFill="1" applyAlignment="1">
      <alignment horizontal="left"/>
    </xf>
    <xf numFmtId="0" fontId="54" fillId="0" borderId="65" xfId="0" applyFont="1" applyBorder="1" applyAlignment="1">
      <alignment horizontal="left" vertical="center" wrapText="1"/>
    </xf>
    <xf numFmtId="0" fontId="72" fillId="0" borderId="68" xfId="0" applyFont="1" applyBorder="1" applyAlignment="1">
      <alignment horizontal="left" vertical="center" wrapText="1"/>
    </xf>
    <xf numFmtId="0" fontId="63" fillId="0" borderId="0" xfId="0" applyFont="1" applyAlignment="1">
      <alignment horizontal="left" vertical="center"/>
    </xf>
    <xf numFmtId="0" fontId="72" fillId="0" borderId="0" xfId="0" applyFont="1" applyAlignment="1">
      <alignment horizontal="left" vertical="center"/>
    </xf>
    <xf numFmtId="0" fontId="72" fillId="0" borderId="5" xfId="0" applyFont="1" applyBorder="1" applyAlignment="1">
      <alignment horizontal="left" vertical="center"/>
    </xf>
    <xf numFmtId="0" fontId="47" fillId="0" borderId="0" xfId="0" applyFont="1" applyAlignment="1">
      <alignment horizontal="left" vertical="center" wrapText="1"/>
    </xf>
    <xf numFmtId="0" fontId="54" fillId="0" borderId="66" xfId="0" applyFont="1" applyBorder="1" applyAlignment="1">
      <alignment horizontal="center" vertical="center" wrapText="1"/>
      <extLst>
        <ext xmlns:xfpb="http://schemas.microsoft.com/office/spreadsheetml/2022/featurepropertybag" uri="{C7286773-470A-42A8-94C5-96B5CB345126}">
          <xfpb:xfComplement i="0"/>
        </ext>
      </extLst>
    </xf>
    <xf numFmtId="0" fontId="54" fillId="0" borderId="65" xfId="0" applyFont="1" applyBorder="1" applyAlignment="1">
      <alignment horizontal="left" vertical="center" wrapText="1"/>
      <extLst>
        <ext xmlns:xfpb="http://schemas.microsoft.com/office/spreadsheetml/2022/featurepropertybag" uri="{C7286773-470A-42A8-94C5-96B5CB345126}">
          <xfpb:xfComplement i="0"/>
        </ext>
      </extLst>
    </xf>
    <xf numFmtId="0" fontId="47" fillId="0" borderId="0" xfId="0" applyFont="1" applyAlignment="1">
      <alignment vertical="center" wrapText="1"/>
    </xf>
    <xf numFmtId="0" fontId="58"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67" fillId="0" borderId="0" xfId="0" applyFont="1" applyAlignment="1">
      <alignment horizontal="center" vertical="center" wrapText="1"/>
    </xf>
    <xf numFmtId="0" fontId="86" fillId="61" borderId="10" xfId="0" applyFont="1" applyFill="1" applyBorder="1" applyAlignment="1">
      <alignment horizontal="center" vertical="center"/>
    </xf>
    <xf numFmtId="0" fontId="47" fillId="0" borderId="0" xfId="0" applyFont="1" applyAlignment="1">
      <alignment horizontal="center" vertical="center" wrapText="1"/>
    </xf>
    <xf numFmtId="0" fontId="3" fillId="0" borderId="0" xfId="0" applyFont="1" applyAlignment="1">
      <alignment vertical="center" wrapText="1"/>
    </xf>
    <xf numFmtId="0" fontId="58" fillId="0" borderId="64" xfId="0" applyFont="1" applyBorder="1" applyAlignment="1">
      <alignment vertical="center"/>
    </xf>
    <xf numFmtId="0" fontId="58" fillId="0" borderId="10" xfId="0" applyFont="1" applyBorder="1" applyAlignment="1">
      <alignment vertical="center"/>
    </xf>
    <xf numFmtId="0" fontId="93" fillId="0" borderId="52" xfId="0" applyFont="1" applyBorder="1" applyAlignment="1">
      <alignment vertical="center"/>
    </xf>
    <xf numFmtId="0" fontId="93" fillId="0" borderId="52" xfId="0" applyFont="1" applyBorder="1" applyAlignment="1">
      <alignment horizontal="center" vertical="center"/>
    </xf>
    <xf numFmtId="0" fontId="94" fillId="0" borderId="52" xfId="0" applyFont="1" applyBorder="1" applyAlignment="1">
      <alignment horizontal="center" vertical="center"/>
    </xf>
    <xf numFmtId="164" fontId="85" fillId="61" borderId="17" xfId="0" applyNumberFormat="1" applyFont="1" applyFill="1" applyBorder="1" applyAlignment="1">
      <alignment vertical="center"/>
    </xf>
    <xf numFmtId="0" fontId="54" fillId="0" borderId="8" xfId="0" applyFont="1" applyBorder="1" applyAlignment="1">
      <alignment horizontal="left" vertical="center"/>
    </xf>
    <xf numFmtId="0" fontId="72" fillId="0" borderId="68" xfId="0" applyFont="1" applyBorder="1" applyAlignment="1">
      <alignment vertical="center"/>
    </xf>
    <xf numFmtId="0" fontId="54" fillId="0" borderId="68" xfId="0" applyFont="1" applyBorder="1" applyAlignment="1">
      <alignment horizontal="center" vertical="center"/>
    </xf>
    <xf numFmtId="164" fontId="85" fillId="61" borderId="0" xfId="0" applyNumberFormat="1" applyFont="1" applyFill="1" applyAlignment="1">
      <alignment vertical="center"/>
    </xf>
    <xf numFmtId="9" fontId="58" fillId="0" borderId="64" xfId="591" applyFont="1" applyBorder="1" applyAlignment="1">
      <alignment horizontal="center" vertical="center"/>
    </xf>
    <xf numFmtId="0" fontId="77" fillId="0" borderId="0" xfId="0" applyFont="1" applyAlignment="1">
      <alignment horizontal="center" vertical="center" wrapText="1"/>
    </xf>
    <xf numFmtId="0" fontId="77" fillId="0" borderId="0" xfId="0" applyFont="1" applyAlignment="1">
      <alignment horizontal="left" vertical="center" wrapText="1"/>
    </xf>
    <xf numFmtId="0" fontId="86" fillId="61" borderId="64" xfId="0" applyFont="1" applyFill="1" applyBorder="1" applyAlignment="1">
      <alignment horizontal="center" vertical="center"/>
    </xf>
    <xf numFmtId="0" fontId="72" fillId="0" borderId="0" xfId="0" applyFont="1" applyAlignment="1">
      <alignment horizontal="left" vertical="center" wrapText="1"/>
    </xf>
    <xf numFmtId="0" fontId="85" fillId="61" borderId="23" xfId="0" applyFont="1" applyFill="1" applyBorder="1" applyAlignment="1">
      <alignment vertical="center"/>
    </xf>
    <xf numFmtId="0" fontId="54" fillId="4" borderId="64" xfId="0" applyFont="1" applyFill="1" applyBorder="1" applyProtection="1">
      <protection hidden="1"/>
    </xf>
    <xf numFmtId="0" fontId="85" fillId="61" borderId="68" xfId="0" applyFont="1" applyFill="1" applyBorder="1" applyAlignment="1">
      <alignment horizontal="center" vertical="center"/>
    </xf>
    <xf numFmtId="0" fontId="78" fillId="0" borderId="0" xfId="0" applyFont="1" applyAlignment="1">
      <alignment vertical="center"/>
    </xf>
    <xf numFmtId="0" fontId="58" fillId="0" borderId="0" xfId="0" applyFont="1" applyAlignment="1">
      <alignment vertical="center"/>
    </xf>
    <xf numFmtId="0" fontId="54" fillId="0" borderId="0" xfId="0" applyFont="1" applyAlignment="1">
      <alignment vertical="center"/>
    </xf>
    <xf numFmtId="0" fontId="7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xf numFmtId="0" fontId="54" fillId="0" borderId="66" xfId="0" applyFont="1" applyBorder="1" applyAlignment="1">
      <alignment horizontal="center" vertical="center"/>
    </xf>
    <xf numFmtId="0" fontId="54" fillId="0" borderId="18" xfId="0" applyFont="1" applyBorder="1" applyAlignment="1">
      <alignment horizontal="center" vertical="center"/>
    </xf>
    <xf numFmtId="9" fontId="58" fillId="0" borderId="70" xfId="591" applyFont="1" applyBorder="1" applyAlignment="1">
      <alignment horizontal="center" vertical="center"/>
    </xf>
    <xf numFmtId="0" fontId="54" fillId="0" borderId="19" xfId="0" applyFont="1" applyBorder="1" applyAlignment="1">
      <alignment vertical="center"/>
      <extLst>
        <ext xmlns:xfpb="http://schemas.microsoft.com/office/spreadsheetml/2022/featurepropertybag" uri="{C7286773-470A-42A8-94C5-96B5CB345126}">
          <xfpb:xfComplement i="0"/>
        </ext>
      </extLst>
    </xf>
    <xf numFmtId="0" fontId="58" fillId="0" borderId="64" xfId="0" applyFont="1" applyBorder="1" applyAlignment="1">
      <alignment horizontal="center" vertical="center" wrapText="1"/>
      <extLst>
        <ext xmlns:xfpb="http://schemas.microsoft.com/office/spreadsheetml/2022/featurepropertybag" uri="{C7286773-470A-42A8-94C5-96B5CB345126}">
          <xfpb:xfComplement i="0"/>
        </ext>
      </extLst>
    </xf>
    <xf numFmtId="0" fontId="58" fillId="61" borderId="0" xfId="0" applyFont="1" applyFill="1" applyAlignment="1">
      <alignment horizontal="left"/>
    </xf>
    <xf numFmtId="0" fontId="58" fillId="0" borderId="5" xfId="0" applyFont="1" applyBorder="1" applyAlignment="1">
      <alignment horizontal="left"/>
    </xf>
    <xf numFmtId="0" fontId="58" fillId="0" borderId="9" xfId="0" applyFont="1" applyBorder="1" applyAlignment="1">
      <alignment horizontal="left" vertical="center"/>
    </xf>
    <xf numFmtId="0" fontId="58" fillId="0" borderId="9" xfId="0" applyFont="1" applyBorder="1" applyAlignment="1">
      <alignment horizontal="left" vertical="center" wrapText="1"/>
    </xf>
    <xf numFmtId="0" fontId="58" fillId="0" borderId="12" xfId="0" applyFont="1" applyBorder="1" applyAlignment="1">
      <alignment horizontal="left" vertical="center" wrapText="1"/>
    </xf>
    <xf numFmtId="0" fontId="53" fillId="0" borderId="0" xfId="0" applyFont="1" applyAlignment="1">
      <alignment horizontal="left" vertical="center"/>
    </xf>
    <xf numFmtId="0" fontId="24" fillId="0" borderId="0" xfId="0" applyFont="1" applyAlignment="1">
      <alignment vertical="center" wrapText="1"/>
    </xf>
    <xf numFmtId="164" fontId="54" fillId="0" borderId="0" xfId="0" applyNumberFormat="1" applyFont="1" applyAlignment="1">
      <alignment horizontal="center" vertical="center"/>
    </xf>
    <xf numFmtId="164" fontId="66" fillId="0" borderId="23" xfId="0" applyNumberFormat="1" applyFont="1" applyBorder="1" applyAlignment="1">
      <alignment horizontal="center" vertical="center"/>
    </xf>
    <xf numFmtId="0" fontId="99" fillId="61" borderId="0" xfId="0" applyFont="1" applyFill="1"/>
    <xf numFmtId="0" fontId="77" fillId="0" borderId="68" xfId="0" applyFont="1" applyBorder="1" applyAlignment="1">
      <alignment vertical="center" wrapText="1"/>
    </xf>
    <xf numFmtId="0" fontId="77" fillId="0" borderId="0" xfId="0" applyFont="1" applyAlignment="1">
      <alignment vertical="center" wrapText="1"/>
    </xf>
    <xf numFmtId="0" fontId="24" fillId="0" borderId="0" xfId="0" applyFont="1" applyAlignment="1">
      <alignment wrapText="1"/>
    </xf>
    <xf numFmtId="0" fontId="101" fillId="0" borderId="0" xfId="0" applyFont="1" applyAlignment="1">
      <alignment horizontal="center" vertical="center" wrapText="1"/>
    </xf>
    <xf numFmtId="0" fontId="101" fillId="0" borderId="0" xfId="0" applyFont="1" applyAlignment="1">
      <alignment horizontal="center" vertical="center"/>
    </xf>
    <xf numFmtId="0" fontId="24" fillId="0" borderId="0" xfId="0" applyFont="1" applyAlignment="1">
      <alignment horizontal="center" vertical="center" wrapText="1"/>
    </xf>
    <xf numFmtId="0" fontId="101" fillId="62" borderId="0" xfId="0" applyFont="1" applyFill="1" applyAlignment="1">
      <alignment horizontal="left" vertical="center" wrapText="1"/>
    </xf>
    <xf numFmtId="0" fontId="24" fillId="0" borderId="0" xfId="0" applyFont="1" applyAlignment="1">
      <alignment horizontal="left" vertical="center" wrapText="1"/>
    </xf>
    <xf numFmtId="0" fontId="24" fillId="64" borderId="0" xfId="0" applyFont="1" applyFill="1" applyAlignment="1">
      <alignment horizontal="left" vertical="center" wrapText="1"/>
    </xf>
    <xf numFmtId="0" fontId="21" fillId="0" borderId="0" xfId="0" applyFont="1" applyAlignment="1">
      <alignment horizontal="left" vertical="center" wrapText="1"/>
    </xf>
    <xf numFmtId="0" fontId="24" fillId="0" borderId="0" xfId="0" applyFont="1" applyAlignment="1">
      <alignment horizontal="left" vertical="center"/>
    </xf>
    <xf numFmtId="0" fontId="102" fillId="0" borderId="0" xfId="592" applyFont="1" applyAlignment="1">
      <alignment horizontal="left" vertical="center" wrapText="1"/>
    </xf>
    <xf numFmtId="0" fontId="24" fillId="64" borderId="65" xfId="0" applyFont="1" applyFill="1" applyBorder="1" applyAlignment="1">
      <alignment horizontal="left" vertical="center" wrapText="1"/>
    </xf>
    <xf numFmtId="0" fontId="24" fillId="64" borderId="66" xfId="0" applyFont="1" applyFill="1" applyBorder="1" applyAlignment="1">
      <alignment horizontal="left" vertical="center" wrapText="1"/>
    </xf>
    <xf numFmtId="0" fontId="102" fillId="0" borderId="0" xfId="592" applyFont="1" applyAlignment="1">
      <alignment horizontal="left" vertical="center"/>
    </xf>
    <xf numFmtId="0" fontId="24" fillId="61" borderId="0" xfId="0" applyFont="1" applyFill="1" applyAlignment="1">
      <alignment horizontal="left" vertical="center" wrapText="1"/>
    </xf>
    <xf numFmtId="0" fontId="24" fillId="64" borderId="0" xfId="0" applyFont="1" applyFill="1" applyAlignment="1">
      <alignment vertical="center" wrapText="1"/>
    </xf>
    <xf numFmtId="0" fontId="24" fillId="63" borderId="0" xfId="0" applyFont="1" applyFill="1" applyAlignment="1">
      <alignment horizontal="left" vertical="center" wrapText="1"/>
    </xf>
    <xf numFmtId="0" fontId="24" fillId="0" borderId="0" xfId="0" applyFont="1"/>
    <xf numFmtId="0" fontId="24" fillId="64" borderId="0" xfId="0" applyFont="1" applyFill="1" applyAlignment="1">
      <alignment wrapText="1"/>
    </xf>
    <xf numFmtId="0" fontId="24" fillId="63" borderId="0" xfId="0" applyFont="1" applyFill="1"/>
    <xf numFmtId="0" fontId="24" fillId="0" borderId="0" xfId="0" applyFont="1" applyAlignment="1">
      <alignment vertical="center"/>
    </xf>
    <xf numFmtId="0" fontId="24" fillId="63" borderId="0" xfId="0" applyFont="1" applyFill="1" applyAlignment="1">
      <alignment vertical="center" wrapText="1"/>
    </xf>
    <xf numFmtId="0" fontId="94" fillId="0" borderId="98" xfId="0" applyFont="1" applyBorder="1" applyAlignment="1">
      <alignment horizontal="left"/>
    </xf>
    <xf numFmtId="9" fontId="94" fillId="0" borderId="97" xfId="591" applyFont="1" applyBorder="1" applyAlignment="1">
      <alignment horizontal="center" vertical="center"/>
    </xf>
    <xf numFmtId="9" fontId="58" fillId="0" borderId="0" xfId="591" applyFont="1" applyBorder="1" applyAlignment="1">
      <alignment horizontal="center" vertical="center"/>
    </xf>
    <xf numFmtId="0" fontId="58" fillId="0" borderId="68" xfId="0" applyFont="1" applyBorder="1" applyAlignment="1">
      <alignment vertical="center" wrapText="1"/>
    </xf>
    <xf numFmtId="0" fontId="53" fillId="0" borderId="8" xfId="0" applyFont="1" applyBorder="1" applyAlignment="1">
      <alignment horizontal="center" vertical="center"/>
    </xf>
    <xf numFmtId="0" fontId="54" fillId="0" borderId="13" xfId="0" applyFont="1" applyBorder="1" applyAlignment="1">
      <alignment horizontal="center" vertical="center"/>
    </xf>
    <xf numFmtId="0" fontId="54" fillId="0" borderId="8" xfId="0" applyFont="1" applyBorder="1" applyAlignment="1">
      <alignment horizontal="center" vertical="center"/>
    </xf>
    <xf numFmtId="0" fontId="104" fillId="61" borderId="0" xfId="0" applyFont="1" applyFill="1"/>
    <xf numFmtId="0" fontId="77" fillId="0" borderId="0" xfId="0" applyFont="1"/>
    <xf numFmtId="0" fontId="104" fillId="0" borderId="0" xfId="0" applyFont="1"/>
    <xf numFmtId="0" fontId="104" fillId="0" borderId="5" xfId="0" applyFont="1" applyBorder="1"/>
    <xf numFmtId="0" fontId="54" fillId="0" borderId="3" xfId="0" applyFont="1" applyBorder="1"/>
    <xf numFmtId="0" fontId="99" fillId="0" borderId="13" xfId="0" applyFont="1" applyBorder="1"/>
    <xf numFmtId="0" fontId="99" fillId="0" borderId="8" xfId="0" applyFont="1" applyBorder="1"/>
    <xf numFmtId="0" fontId="54" fillId="0" borderId="13" xfId="0" applyFont="1" applyBorder="1" applyAlignment="1">
      <alignment horizontal="left" vertical="center"/>
    </xf>
    <xf numFmtId="0" fontId="101" fillId="0" borderId="0" xfId="0" applyFont="1"/>
    <xf numFmtId="0" fontId="24" fillId="0" borderId="0" xfId="0" applyFont="1" applyAlignment="1">
      <alignment horizontal="center" vertical="center"/>
    </xf>
    <xf numFmtId="9" fontId="24" fillId="0" borderId="0" xfId="591" applyFont="1" applyAlignment="1">
      <alignment horizontal="center" vertical="center"/>
    </xf>
    <xf numFmtId="1" fontId="24" fillId="0" borderId="0" xfId="0" applyNumberFormat="1" applyFont="1" applyAlignment="1">
      <alignment horizontal="center" vertical="center"/>
    </xf>
    <xf numFmtId="1" fontId="24" fillId="0" borderId="0" xfId="0" applyNumberFormat="1" applyFont="1"/>
    <xf numFmtId="2" fontId="24" fillId="0" borderId="0" xfId="0" applyNumberFormat="1" applyFont="1" applyAlignment="1">
      <alignment horizontal="center" vertical="center"/>
    </xf>
    <xf numFmtId="0" fontId="24" fillId="0" borderId="0" xfId="0" applyFont="1" applyAlignment="1">
      <alignment horizontal="center"/>
    </xf>
    <xf numFmtId="9" fontId="24" fillId="0" borderId="0" xfId="591" applyFont="1" applyAlignment="1">
      <alignment horizontal="center"/>
    </xf>
    <xf numFmtId="1" fontId="24" fillId="0" borderId="0" xfId="0" applyNumberFormat="1" applyFont="1" applyAlignment="1">
      <alignment horizontal="center"/>
    </xf>
    <xf numFmtId="0" fontId="24" fillId="0" borderId="0" xfId="0" applyFont="1" applyAlignment="1">
      <alignment horizontal="left"/>
    </xf>
    <xf numFmtId="0" fontId="54" fillId="0" borderId="0" xfId="0" applyFont="1" applyAlignment="1">
      <alignment horizontal="center"/>
    </xf>
    <xf numFmtId="0" fontId="98" fillId="0" borderId="0" xfId="0" applyFont="1" applyAlignment="1">
      <alignment vertical="center"/>
    </xf>
    <xf numFmtId="0" fontId="99" fillId="0" borderId="0" xfId="0" applyFont="1"/>
    <xf numFmtId="0" fontId="53" fillId="0" borderId="0" xfId="0" applyFont="1" applyAlignment="1">
      <alignment vertical="center"/>
    </xf>
    <xf numFmtId="0" fontId="53" fillId="0" borderId="0" xfId="0" applyFont="1"/>
    <xf numFmtId="0" fontId="86" fillId="61" borderId="20" xfId="0" applyFont="1" applyFill="1" applyBorder="1" applyAlignment="1">
      <alignment horizontal="left" vertical="center"/>
    </xf>
    <xf numFmtId="0" fontId="85" fillId="61" borderId="10" xfId="0" applyFont="1" applyFill="1" applyBorder="1" applyAlignment="1">
      <alignment horizontal="left" vertical="center"/>
    </xf>
    <xf numFmtId="0" fontId="85" fillId="61" borderId="7" xfId="0" applyFont="1" applyFill="1" applyBorder="1" applyAlignment="1">
      <alignment horizontal="left" vertical="center"/>
    </xf>
    <xf numFmtId="0" fontId="86" fillId="61" borderId="64" xfId="0" applyFont="1" applyFill="1" applyBorder="1" applyAlignment="1">
      <alignment horizontal="left" vertical="center"/>
    </xf>
    <xf numFmtId="0" fontId="54" fillId="61" borderId="0" xfId="0" applyFont="1" applyFill="1" applyAlignment="1">
      <alignment horizontal="left"/>
    </xf>
    <xf numFmtId="0" fontId="54" fillId="0" borderId="71" xfId="0" applyFont="1" applyBorder="1" applyAlignment="1">
      <alignment vertical="center" wrapText="1"/>
    </xf>
    <xf numFmtId="0" fontId="21" fillId="0" borderId="0" xfId="0" applyFont="1" applyAlignment="1">
      <alignment wrapText="1"/>
    </xf>
    <xf numFmtId="0" fontId="58" fillId="0" borderId="64" xfId="0" applyFont="1" applyBorder="1" applyAlignment="1">
      <alignment horizontal="center" vertical="center" wrapText="1"/>
    </xf>
    <xf numFmtId="0" fontId="54" fillId="0" borderId="16" xfId="0" applyFont="1" applyBorder="1" applyAlignment="1">
      <alignment horizontal="center" vertical="center"/>
    </xf>
    <xf numFmtId="0" fontId="54" fillId="0" borderId="65" xfId="0" applyFont="1" applyBorder="1" applyAlignment="1">
      <alignment horizontal="center" vertical="center"/>
    </xf>
    <xf numFmtId="0" fontId="54" fillId="0" borderId="71" xfId="0" applyFont="1" applyBorder="1" applyAlignment="1">
      <alignment horizontal="center" vertical="center"/>
    </xf>
    <xf numFmtId="0" fontId="74" fillId="0" borderId="0" xfId="0" applyFont="1" applyAlignment="1">
      <alignment vertical="center"/>
    </xf>
    <xf numFmtId="9" fontId="54" fillId="0" borderId="0" xfId="0" applyNumberFormat="1" applyFont="1" applyAlignment="1">
      <alignment horizontal="center" vertical="center"/>
    </xf>
    <xf numFmtId="0" fontId="54" fillId="0" borderId="17" xfId="0" applyFont="1" applyBorder="1" applyAlignment="1">
      <alignment horizontal="center" vertical="center"/>
    </xf>
    <xf numFmtId="9" fontId="54" fillId="0" borderId="9" xfId="0" applyNumberFormat="1" applyFont="1" applyBorder="1" applyAlignment="1">
      <alignment horizontal="center" vertical="center"/>
    </xf>
    <xf numFmtId="0" fontId="54" fillId="0" borderId="9" xfId="0" applyFont="1" applyBorder="1" applyAlignment="1">
      <alignment horizontal="center" vertical="center"/>
    </xf>
    <xf numFmtId="0" fontId="54" fillId="0" borderId="19" xfId="0" applyFont="1" applyBorder="1" applyAlignment="1">
      <alignment horizontal="center" vertical="center"/>
    </xf>
    <xf numFmtId="0" fontId="96" fillId="0" borderId="0" xfId="0" applyFont="1" applyAlignment="1">
      <alignment vertical="center" wrapText="1"/>
    </xf>
    <xf numFmtId="0" fontId="53" fillId="0" borderId="13" xfId="0" applyFont="1" applyBorder="1" applyAlignment="1">
      <alignment horizontal="left" vertical="center"/>
    </xf>
    <xf numFmtId="0" fontId="53" fillId="0" borderId="6" xfId="0" applyFont="1" applyBorder="1" applyAlignment="1">
      <alignment horizontal="center" vertical="center"/>
    </xf>
    <xf numFmtId="0" fontId="95" fillId="0" borderId="0" xfId="592" applyAlignment="1">
      <alignment horizontal="left" vertical="center"/>
    </xf>
    <xf numFmtId="0" fontId="95" fillId="0" borderId="0" xfId="592" applyAlignment="1">
      <alignment horizontal="left" vertical="center" wrapText="1"/>
    </xf>
    <xf numFmtId="0" fontId="54" fillId="0" borderId="64" xfId="0" applyFont="1" applyBorder="1" applyAlignment="1">
      <alignment horizontal="left" vertical="center" wrapText="1"/>
    </xf>
    <xf numFmtId="0" fontId="54" fillId="0" borderId="9" xfId="0" applyFont="1" applyBorder="1" applyAlignment="1">
      <alignment horizontal="left" vertical="center"/>
    </xf>
    <xf numFmtId="0" fontId="54" fillId="0" borderId="70" xfId="0" applyFont="1" applyBorder="1" applyAlignment="1">
      <alignment horizontal="left" vertical="center" wrapText="1"/>
    </xf>
    <xf numFmtId="0" fontId="54" fillId="0" borderId="113" xfId="0" applyFont="1" applyBorder="1" applyAlignment="1">
      <alignment horizontal="center" vertical="center"/>
    </xf>
    <xf numFmtId="0" fontId="54" fillId="0" borderId="80" xfId="0" applyFont="1" applyBorder="1" applyAlignment="1">
      <alignment horizontal="center" vertical="center"/>
    </xf>
    <xf numFmtId="0" fontId="54" fillId="0" borderId="68" xfId="0" applyFont="1" applyBorder="1" applyAlignment="1">
      <alignment horizontal="left" vertical="center"/>
    </xf>
    <xf numFmtId="0" fontId="54" fillId="0" borderId="10" xfId="0" applyFont="1" applyBorder="1" applyAlignment="1">
      <alignment horizontal="left" vertical="center" wrapText="1"/>
    </xf>
    <xf numFmtId="0" fontId="0" fillId="61" borderId="0" xfId="0" applyFill="1" applyAlignment="1">
      <alignment horizontal="center" vertical="center"/>
    </xf>
    <xf numFmtId="0" fontId="111" fillId="66" borderId="119" xfId="0" applyFont="1" applyFill="1" applyBorder="1" applyAlignment="1">
      <alignment horizontal="center" vertical="center" wrapText="1"/>
    </xf>
    <xf numFmtId="0" fontId="54" fillId="0" borderId="113" xfId="0" applyFont="1" applyBorder="1" applyAlignment="1">
      <alignment horizontal="left" vertical="center"/>
    </xf>
    <xf numFmtId="0" fontId="54" fillId="0" borderId="80" xfId="0" applyFont="1" applyBorder="1" applyAlignment="1">
      <alignment horizontal="left" vertical="center"/>
    </xf>
    <xf numFmtId="0" fontId="112" fillId="66" borderId="99" xfId="0" applyFont="1" applyFill="1" applyBorder="1" applyAlignment="1">
      <alignment horizontal="center" vertical="center"/>
    </xf>
    <xf numFmtId="0" fontId="112" fillId="66" borderId="100" xfId="0" applyFont="1" applyFill="1" applyBorder="1" applyAlignment="1">
      <alignment horizontal="center" vertical="center"/>
    </xf>
    <xf numFmtId="0" fontId="113" fillId="0" borderId="64" xfId="592" applyFont="1" applyBorder="1" applyAlignment="1">
      <alignment horizontal="left" vertical="center" wrapText="1"/>
    </xf>
    <xf numFmtId="0" fontId="113" fillId="0" borderId="18" xfId="592" applyFont="1" applyBorder="1" applyAlignment="1">
      <alignment horizontal="left" vertical="center" wrapText="1"/>
    </xf>
    <xf numFmtId="0" fontId="113" fillId="0" borderId="70" xfId="592" applyFont="1" applyBorder="1" applyAlignment="1">
      <alignment horizontal="left" vertical="center" wrapText="1"/>
    </xf>
    <xf numFmtId="0" fontId="113" fillId="0" borderId="10" xfId="592" applyFont="1" applyBorder="1" applyAlignment="1">
      <alignment horizontal="left" vertical="center" wrapText="1"/>
    </xf>
    <xf numFmtId="0" fontId="113" fillId="0" borderId="70" xfId="592" applyFont="1" applyBorder="1" applyAlignment="1">
      <alignment vertical="center" wrapText="1"/>
    </xf>
    <xf numFmtId="0" fontId="113" fillId="0" borderId="106" xfId="592" applyFont="1" applyBorder="1" applyAlignment="1">
      <alignment horizontal="left" vertical="center" wrapText="1"/>
    </xf>
    <xf numFmtId="0" fontId="113" fillId="0" borderId="107" xfId="592" applyFont="1" applyBorder="1" applyAlignment="1">
      <alignment horizontal="left" vertical="center" wrapText="1"/>
    </xf>
    <xf numFmtId="0" fontId="113" fillId="0" borderId="68" xfId="592" applyFont="1" applyBorder="1" applyAlignment="1">
      <alignment horizontal="left" vertical="center" wrapText="1"/>
    </xf>
    <xf numFmtId="0" fontId="53" fillId="0" borderId="79" xfId="0" applyFont="1" applyBorder="1" applyAlignment="1">
      <alignment horizontal="left" vertical="center"/>
    </xf>
    <xf numFmtId="0" fontId="53" fillId="0" borderId="80" xfId="0" applyFont="1" applyBorder="1" applyAlignment="1">
      <alignment horizontal="left" vertical="center"/>
    </xf>
    <xf numFmtId="0" fontId="53" fillId="0" borderId="117" xfId="0" applyFont="1" applyBorder="1" applyAlignment="1">
      <alignment horizontal="left" vertical="center"/>
    </xf>
    <xf numFmtId="0" fontId="53" fillId="0" borderId="118" xfId="0" applyFont="1" applyBorder="1" applyAlignment="1">
      <alignment horizontal="left" vertical="center"/>
    </xf>
    <xf numFmtId="0" fontId="108" fillId="0" borderId="0" xfId="0" applyFont="1" applyAlignment="1">
      <alignment horizontal="left" vertical="center"/>
    </xf>
    <xf numFmtId="0" fontId="54" fillId="0" borderId="120" xfId="0" applyFont="1" applyBorder="1" applyAlignment="1">
      <alignment horizontal="center" vertical="center"/>
    </xf>
    <xf numFmtId="0" fontId="53" fillId="0" borderId="68" xfId="0" applyFont="1" applyBorder="1" applyAlignment="1">
      <alignment horizontal="center" vertical="center"/>
    </xf>
    <xf numFmtId="0" fontId="97" fillId="0" borderId="16" xfId="0" applyFont="1" applyBorder="1" applyAlignment="1">
      <alignment horizontal="center" vertical="center"/>
    </xf>
    <xf numFmtId="0" fontId="97" fillId="0" borderId="0" xfId="0" applyFont="1" applyAlignment="1">
      <alignment horizontal="left" vertical="center"/>
    </xf>
    <xf numFmtId="164" fontId="54" fillId="0" borderId="9" xfId="0" applyNumberFormat="1" applyFont="1" applyBorder="1" applyAlignment="1">
      <alignment horizontal="center" vertical="center"/>
    </xf>
    <xf numFmtId="164" fontId="66" fillId="0" borderId="0" xfId="0" applyNumberFormat="1" applyFont="1" applyAlignment="1">
      <alignment horizontal="center" vertical="center"/>
    </xf>
    <xf numFmtId="1" fontId="66" fillId="0" borderId="0" xfId="0" applyNumberFormat="1" applyFont="1" applyAlignment="1">
      <alignment horizontal="center" vertical="center"/>
    </xf>
    <xf numFmtId="2" fontId="54" fillId="0" borderId="0" xfId="0" applyNumberFormat="1" applyFont="1" applyAlignment="1">
      <alignment horizontal="center" vertical="center"/>
    </xf>
    <xf numFmtId="0" fontId="97" fillId="0" borderId="18" xfId="0" applyFont="1" applyBorder="1" applyAlignment="1">
      <alignment horizontal="center" vertical="center"/>
    </xf>
    <xf numFmtId="0" fontId="97" fillId="0" borderId="9" xfId="0" applyFont="1" applyBorder="1" applyAlignment="1">
      <alignment horizontal="left" vertical="center"/>
    </xf>
    <xf numFmtId="2" fontId="54" fillId="0" borderId="9" xfId="0" applyNumberFormat="1" applyFont="1" applyBorder="1" applyAlignment="1">
      <alignment horizontal="center" vertical="center"/>
    </xf>
    <xf numFmtId="0" fontId="85" fillId="61" borderId="67" xfId="0" applyFont="1" applyFill="1" applyBorder="1"/>
    <xf numFmtId="0" fontId="85" fillId="61" borderId="68" xfId="0" applyFont="1" applyFill="1" applyBorder="1"/>
    <xf numFmtId="1" fontId="85" fillId="61" borderId="69" xfId="0" applyNumberFormat="1" applyFont="1" applyFill="1" applyBorder="1"/>
    <xf numFmtId="1" fontId="85" fillId="61" borderId="17" xfId="0" applyNumberFormat="1" applyFont="1" applyFill="1" applyBorder="1"/>
    <xf numFmtId="0" fontId="85" fillId="61" borderId="18" xfId="0" applyFont="1" applyFill="1" applyBorder="1"/>
    <xf numFmtId="0" fontId="85" fillId="61" borderId="9" xfId="0" applyFont="1" applyFill="1" applyBorder="1"/>
    <xf numFmtId="1" fontId="85" fillId="61" borderId="19" xfId="0" applyNumberFormat="1" applyFont="1" applyFill="1" applyBorder="1"/>
    <xf numFmtId="0" fontId="85" fillId="61" borderId="69" xfId="0" applyFont="1" applyFill="1" applyBorder="1"/>
    <xf numFmtId="0" fontId="85" fillId="61" borderId="23" xfId="0" applyFont="1" applyFill="1" applyBorder="1"/>
    <xf numFmtId="1" fontId="85" fillId="61" borderId="23" xfId="0" applyNumberFormat="1" applyFont="1" applyFill="1" applyBorder="1"/>
    <xf numFmtId="0" fontId="116" fillId="0" borderId="21" xfId="592" applyFont="1" applyBorder="1" applyAlignment="1">
      <alignment horizontal="left" vertical="center" wrapText="1"/>
    </xf>
    <xf numFmtId="0" fontId="116" fillId="0" borderId="116" xfId="592" applyFont="1" applyBorder="1" applyAlignment="1">
      <alignment horizontal="left" vertical="center" wrapText="1"/>
    </xf>
    <xf numFmtId="0" fontId="85" fillId="61" borderId="70" xfId="0" applyFont="1" applyFill="1" applyBorder="1" applyAlignment="1">
      <alignment horizontal="center" vertical="center"/>
    </xf>
    <xf numFmtId="9" fontId="85" fillId="61" borderId="10" xfId="0" applyNumberFormat="1" applyFont="1" applyFill="1" applyBorder="1" applyAlignment="1">
      <alignment horizontal="center" vertical="center"/>
    </xf>
    <xf numFmtId="0" fontId="54" fillId="0" borderId="64" xfId="0" applyFont="1" applyBorder="1" applyAlignment="1">
      <alignment horizontal="center" vertical="center"/>
    </xf>
    <xf numFmtId="0" fontId="53" fillId="0" borderId="64" xfId="0" applyFont="1" applyBorder="1" applyAlignment="1">
      <alignment horizontal="center" vertical="center"/>
    </xf>
    <xf numFmtId="1" fontId="54" fillId="0" borderId="64" xfId="0" applyNumberFormat="1" applyFont="1" applyBorder="1" applyAlignment="1">
      <alignment horizontal="center" vertical="center"/>
    </xf>
    <xf numFmtId="164" fontId="54" fillId="0" borderId="64" xfId="0" applyNumberFormat="1" applyFont="1" applyBorder="1" applyAlignment="1">
      <alignment horizontal="center" vertical="center"/>
    </xf>
    <xf numFmtId="2" fontId="54" fillId="0" borderId="64" xfId="0" applyNumberFormat="1" applyFont="1" applyBorder="1" applyAlignment="1">
      <alignment horizontal="center" vertical="center"/>
    </xf>
    <xf numFmtId="0" fontId="74" fillId="0" borderId="0" xfId="0" applyFont="1" applyAlignment="1">
      <alignment horizontal="center" vertical="center"/>
    </xf>
    <xf numFmtId="0" fontId="24" fillId="70" borderId="0" xfId="0" applyFont="1" applyFill="1" applyAlignment="1">
      <alignment horizontal="left" vertical="center" wrapText="1"/>
    </xf>
    <xf numFmtId="0" fontId="53" fillId="70" borderId="0" xfId="0" applyFont="1" applyFill="1" applyAlignment="1">
      <alignment horizontal="left" vertical="center" wrapText="1"/>
    </xf>
    <xf numFmtId="0" fontId="82" fillId="70" borderId="0" xfId="0" applyFont="1" applyFill="1" applyAlignment="1">
      <alignment horizontal="left" vertical="center" wrapText="1"/>
    </xf>
    <xf numFmtId="0" fontId="53" fillId="0" borderId="4" xfId="0" applyFont="1" applyBorder="1" applyAlignment="1">
      <alignment horizontal="center" vertical="center"/>
    </xf>
    <xf numFmtId="0" fontId="54" fillId="0" borderId="1" xfId="0" applyFont="1" applyBorder="1" applyAlignment="1">
      <alignment horizontal="left" vertical="center"/>
    </xf>
    <xf numFmtId="0" fontId="54" fillId="0" borderId="3" xfId="0" applyFont="1" applyBorder="1" applyAlignment="1">
      <alignment horizontal="left" vertical="center"/>
    </xf>
    <xf numFmtId="0" fontId="53" fillId="0" borderId="71" xfId="0" applyFont="1" applyBorder="1" applyAlignment="1">
      <alignment horizontal="left" vertical="center"/>
    </xf>
    <xf numFmtId="0" fontId="53" fillId="0" borderId="123" xfId="0" applyFont="1" applyBorder="1" applyAlignment="1">
      <alignment horizontal="left" vertical="center"/>
    </xf>
    <xf numFmtId="0" fontId="53" fillId="0" borderId="9" xfId="0" applyFont="1" applyBorder="1" applyAlignment="1">
      <alignment horizontal="center" vertical="center"/>
    </xf>
    <xf numFmtId="9" fontId="54" fillId="0" borderId="64" xfId="591" applyFont="1" applyBorder="1" applyAlignment="1">
      <alignment horizontal="center" vertical="center"/>
    </xf>
    <xf numFmtId="0" fontId="54" fillId="0" borderId="11" xfId="0" applyFont="1" applyBorder="1" applyAlignment="1">
      <alignment horizontal="left"/>
    </xf>
    <xf numFmtId="0" fontId="54" fillId="0" borderId="22" xfId="0" applyFont="1" applyBorder="1" applyAlignment="1">
      <alignment horizontal="left"/>
    </xf>
    <xf numFmtId="0" fontId="58" fillId="0" borderId="66" xfId="0" applyFont="1" applyBorder="1" applyAlignment="1">
      <alignment horizontal="center" vertical="center"/>
      <extLst>
        <ext xmlns:xfpb="http://schemas.microsoft.com/office/spreadsheetml/2022/featurepropertybag" uri="{C7286773-470A-42A8-94C5-96B5CB345126}">
          <xfpb:xfComplement i="0"/>
        </ext>
      </extLst>
    </xf>
    <xf numFmtId="0" fontId="86" fillId="61" borderId="67" xfId="0" applyFont="1" applyFill="1" applyBorder="1" applyAlignment="1">
      <alignment horizontal="center" vertical="center" wrapText="1"/>
    </xf>
    <xf numFmtId="0" fontId="86" fillId="61" borderId="69" xfId="0" applyFont="1" applyFill="1" applyBorder="1" applyAlignment="1">
      <alignment horizontal="center" vertical="center" wrapText="1"/>
    </xf>
    <xf numFmtId="0" fontId="86" fillId="61" borderId="70" xfId="0" applyFont="1" applyFill="1" applyBorder="1" applyAlignment="1">
      <alignment horizontal="center" vertical="center" wrapText="1"/>
    </xf>
    <xf numFmtId="0" fontId="54" fillId="0" borderId="121" xfId="0" applyFont="1" applyBorder="1" applyAlignment="1">
      <alignment horizontal="center" vertical="center" wrapText="1"/>
    </xf>
    <xf numFmtId="0" fontId="53" fillId="0" borderId="9" xfId="0" applyFont="1" applyBorder="1" applyAlignment="1">
      <alignment horizontal="left" vertical="center"/>
    </xf>
    <xf numFmtId="1" fontId="54" fillId="0" borderId="9" xfId="0" applyNumberFormat="1" applyFont="1" applyBorder="1" applyAlignment="1">
      <alignment horizontal="center" vertical="center"/>
    </xf>
    <xf numFmtId="1" fontId="66" fillId="0" borderId="23" xfId="0" applyNumberFormat="1" applyFont="1" applyBorder="1" applyAlignment="1">
      <alignment horizontal="center" vertical="center"/>
    </xf>
    <xf numFmtId="0" fontId="53" fillId="0" borderId="80" xfId="0" applyFont="1" applyBorder="1" applyAlignment="1">
      <alignment horizontal="center" vertical="center"/>
    </xf>
    <xf numFmtId="0" fontId="54" fillId="0" borderId="108" xfId="0" applyFont="1" applyBorder="1" applyAlignment="1">
      <alignment horizontal="center" vertical="center"/>
    </xf>
    <xf numFmtId="0" fontId="54" fillId="0" borderId="109" xfId="0" applyFont="1" applyBorder="1" applyAlignment="1">
      <alignment horizontal="center" vertical="center"/>
    </xf>
    <xf numFmtId="0" fontId="53" fillId="0" borderId="13" xfId="0" applyFont="1" applyBorder="1" applyAlignment="1">
      <alignment horizontal="center" vertical="center"/>
    </xf>
    <xf numFmtId="0" fontId="54" fillId="0" borderId="112" xfId="0" applyFont="1" applyBorder="1" applyAlignment="1">
      <alignment horizontal="left" vertical="center"/>
    </xf>
    <xf numFmtId="0" fontId="54" fillId="62" borderId="79" xfId="0" applyFont="1" applyFill="1" applyBorder="1" applyAlignment="1">
      <alignment horizontal="left" vertical="center"/>
    </xf>
    <xf numFmtId="0" fontId="54" fillId="0" borderId="79" xfId="0" applyFont="1" applyBorder="1" applyAlignment="1">
      <alignment horizontal="left" vertical="center"/>
    </xf>
    <xf numFmtId="0" fontId="53" fillId="0" borderId="117" xfId="0" applyFont="1" applyBorder="1" applyAlignment="1">
      <alignment horizontal="center" vertical="center"/>
    </xf>
    <xf numFmtId="0" fontId="53" fillId="0" borderId="115" xfId="0" applyFont="1" applyBorder="1" applyAlignment="1">
      <alignment horizontal="center" vertical="center"/>
    </xf>
    <xf numFmtId="0" fontId="54" fillId="0" borderId="124" xfId="0" applyFont="1" applyBorder="1" applyAlignment="1">
      <alignment horizontal="left" vertical="center" wrapText="1"/>
    </xf>
    <xf numFmtId="0" fontId="54" fillId="0" borderId="1" xfId="0" applyFont="1" applyBorder="1" applyAlignment="1">
      <alignment horizontal="center" vertical="center"/>
    </xf>
    <xf numFmtId="0" fontId="54" fillId="0" borderId="79" xfId="0" applyFont="1" applyBorder="1" applyAlignment="1">
      <alignment horizontal="center" vertical="center"/>
    </xf>
    <xf numFmtId="0" fontId="54" fillId="0" borderId="112" xfId="0" applyFont="1" applyBorder="1" applyAlignment="1">
      <alignment horizontal="center" vertical="center"/>
    </xf>
    <xf numFmtId="0" fontId="53" fillId="0" borderId="79" xfId="0" applyFont="1" applyBorder="1" applyAlignment="1">
      <alignment horizontal="center" vertical="center"/>
    </xf>
    <xf numFmtId="0" fontId="53" fillId="0" borderId="115" xfId="0" applyFont="1" applyBorder="1" applyAlignment="1">
      <alignment horizontal="left" vertical="center"/>
    </xf>
    <xf numFmtId="0" fontId="54" fillId="62" borderId="13" xfId="0" applyFont="1" applyFill="1" applyBorder="1" applyAlignment="1">
      <alignment horizontal="left" vertical="center"/>
    </xf>
    <xf numFmtId="0" fontId="54" fillId="0" borderId="64" xfId="0" applyFont="1" applyBorder="1" applyAlignment="1">
      <alignment horizontal="left" vertical="center"/>
    </xf>
    <xf numFmtId="0" fontId="53" fillId="0" borderId="64" xfId="0" applyFont="1" applyBorder="1" applyAlignment="1">
      <alignment horizontal="center"/>
    </xf>
    <xf numFmtId="0" fontId="54" fillId="0" borderId="0" xfId="0" applyFont="1" applyAlignment="1">
      <alignment vertical="top" wrapText="1"/>
    </xf>
    <xf numFmtId="0" fontId="85" fillId="61" borderId="64" xfId="0" applyFont="1" applyFill="1" applyBorder="1" applyAlignment="1">
      <alignment horizontal="left" vertical="center"/>
    </xf>
    <xf numFmtId="0" fontId="79" fillId="0" borderId="0" xfId="0" applyFont="1" applyAlignment="1">
      <alignment horizontal="center" vertical="center" wrapText="1"/>
    </xf>
    <xf numFmtId="0" fontId="54" fillId="0" borderId="64" xfId="0" applyFont="1" applyBorder="1" applyAlignment="1">
      <alignment vertical="center" wrapText="1"/>
    </xf>
    <xf numFmtId="0" fontId="119" fillId="0" borderId="64" xfId="0" applyFont="1" applyBorder="1" applyAlignment="1">
      <alignment horizontal="center" vertical="center" wrapText="1"/>
    </xf>
    <xf numFmtId="0" fontId="119" fillId="0" borderId="7" xfId="0" applyFont="1" applyBorder="1" applyAlignment="1">
      <alignment horizontal="center" vertical="center"/>
    </xf>
    <xf numFmtId="0" fontId="54" fillId="61" borderId="126" xfId="0" applyFont="1" applyFill="1" applyBorder="1"/>
    <xf numFmtId="0" fontId="54" fillId="61" borderId="127" xfId="0" applyFont="1" applyFill="1" applyBorder="1"/>
    <xf numFmtId="0" fontId="54" fillId="61" borderId="8" xfId="0" applyFont="1" applyFill="1" applyBorder="1"/>
    <xf numFmtId="0" fontId="50" fillId="2" borderId="1" xfId="0" applyFont="1" applyFill="1" applyBorder="1" applyAlignment="1" applyProtection="1">
      <alignment horizontal="center" vertical="center" wrapText="1"/>
      <protection hidden="1"/>
    </xf>
    <xf numFmtId="0" fontId="50" fillId="2" borderId="2" xfId="0" applyFont="1" applyFill="1" applyBorder="1" applyAlignment="1" applyProtection="1">
      <alignment horizontal="center" vertical="center" wrapText="1"/>
      <protection hidden="1"/>
    </xf>
    <xf numFmtId="0" fontId="50" fillId="2" borderId="3" xfId="0" applyFont="1" applyFill="1" applyBorder="1" applyAlignment="1" applyProtection="1">
      <alignment horizontal="center" vertical="center" wrapText="1"/>
      <protection hidden="1"/>
    </xf>
    <xf numFmtId="0" fontId="52" fillId="2" borderId="0" xfId="0" applyFont="1" applyFill="1" applyProtection="1">
      <protection locked="0"/>
    </xf>
    <xf numFmtId="0" fontId="50" fillId="2" borderId="0" xfId="0" applyFont="1" applyFill="1"/>
    <xf numFmtId="0" fontId="46" fillId="2" borderId="0" xfId="0" applyFont="1" applyFill="1"/>
    <xf numFmtId="0" fontId="47" fillId="2" borderId="0" xfId="0" applyFont="1" applyFill="1" applyAlignment="1">
      <alignment vertical="center" wrapText="1"/>
    </xf>
    <xf numFmtId="0" fontId="47" fillId="2" borderId="0" xfId="0" applyFont="1" applyFill="1" applyAlignment="1">
      <alignment vertical="top" wrapText="1"/>
    </xf>
    <xf numFmtId="0" fontId="0" fillId="2" borderId="0" xfId="0" applyFill="1"/>
    <xf numFmtId="0" fontId="72" fillId="0" borderId="124" xfId="0" applyFont="1" applyBorder="1" applyAlignment="1">
      <alignment horizontal="left" vertical="center" wrapText="1"/>
    </xf>
    <xf numFmtId="0" fontId="85" fillId="61" borderId="19" xfId="0" applyFont="1" applyFill="1" applyBorder="1"/>
    <xf numFmtId="0" fontId="46" fillId="61" borderId="17" xfId="0" applyFont="1" applyFill="1" applyBorder="1"/>
    <xf numFmtId="0" fontId="54" fillId="0" borderId="72"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125" xfId="0" applyFont="1" applyBorder="1" applyAlignment="1">
      <alignment horizontal="center" vertical="center" wrapText="1"/>
    </xf>
    <xf numFmtId="2" fontId="54" fillId="0" borderId="68" xfId="0" applyNumberFormat="1"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2" fontId="54" fillId="0" borderId="5" xfId="0" applyNumberFormat="1" applyFont="1" applyBorder="1" applyAlignment="1">
      <alignment horizontal="center" vertical="center"/>
    </xf>
    <xf numFmtId="165" fontId="54" fillId="0" borderId="64" xfId="0" applyNumberFormat="1" applyFont="1" applyBorder="1" applyAlignment="1">
      <alignment horizontal="center" vertical="center"/>
    </xf>
    <xf numFmtId="0" fontId="54" fillId="0" borderId="69" xfId="0" applyFont="1" applyBorder="1" applyAlignment="1">
      <alignment horizontal="left" vertical="center" wrapText="1"/>
    </xf>
    <xf numFmtId="0" fontId="72" fillId="0" borderId="67" xfId="0" applyFont="1" applyBorder="1" applyAlignment="1">
      <alignment horizontal="left" vertical="center" wrapText="1"/>
    </xf>
    <xf numFmtId="0" fontId="113" fillId="0" borderId="21" xfId="592" applyFont="1" applyBorder="1" applyAlignment="1">
      <alignment vertical="center" wrapText="1"/>
    </xf>
    <xf numFmtId="0" fontId="95" fillId="0" borderId="64" xfId="592" applyFill="1" applyBorder="1" applyAlignment="1">
      <alignment horizontal="center" vertical="center"/>
    </xf>
    <xf numFmtId="0" fontId="0" fillId="0" borderId="64" xfId="0" applyBorder="1" applyAlignment="1">
      <alignment horizontal="center"/>
    </xf>
    <xf numFmtId="0" fontId="95" fillId="0" borderId="64" xfId="592" applyBorder="1" applyAlignment="1">
      <alignment horizontal="center" vertical="center"/>
    </xf>
    <xf numFmtId="0" fontId="109" fillId="0" borderId="64" xfId="592" applyFont="1" applyBorder="1" applyAlignment="1">
      <alignment horizontal="center" vertical="center"/>
    </xf>
    <xf numFmtId="0" fontId="115" fillId="0" borderId="64" xfId="0" applyFont="1" applyBorder="1" applyAlignment="1">
      <alignment horizontal="left" vertical="center" wrapText="1"/>
    </xf>
    <xf numFmtId="0" fontId="114" fillId="0" borderId="64" xfId="592" applyFont="1" applyBorder="1" applyAlignment="1">
      <alignment horizontal="center" vertical="center" wrapText="1"/>
    </xf>
    <xf numFmtId="0" fontId="115" fillId="0" borderId="129" xfId="0" applyFont="1" applyBorder="1" applyAlignment="1">
      <alignment horizontal="left" vertical="center" wrapText="1"/>
    </xf>
    <xf numFmtId="0" fontId="114" fillId="0" borderId="130" xfId="592" applyFont="1" applyBorder="1" applyAlignment="1">
      <alignment horizontal="center" vertical="center"/>
    </xf>
    <xf numFmtId="0" fontId="95" fillId="0" borderId="114" xfId="592" applyBorder="1" applyAlignment="1">
      <alignment horizontal="center"/>
    </xf>
    <xf numFmtId="0" fontId="54" fillId="0" borderId="64" xfId="0" applyFont="1" applyBorder="1" applyAlignment="1">
      <alignment wrapText="1"/>
    </xf>
    <xf numFmtId="0" fontId="0" fillId="0" borderId="64" xfId="0" applyBorder="1" applyAlignment="1">
      <alignment horizontal="center" vertical="center"/>
    </xf>
    <xf numFmtId="0" fontId="0" fillId="0" borderId="70" xfId="0" applyBorder="1" applyAlignment="1">
      <alignment horizontal="center" vertical="center"/>
    </xf>
    <xf numFmtId="0" fontId="0" fillId="0" borderId="70" xfId="0"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xf>
    <xf numFmtId="0" fontId="54" fillId="0" borderId="70" xfId="0" applyFont="1" applyBorder="1" applyAlignment="1">
      <alignment horizontal="center" vertical="center"/>
    </xf>
    <xf numFmtId="0" fontId="95" fillId="0" borderId="10" xfId="592" applyFill="1" applyBorder="1" applyAlignment="1">
      <alignment horizontal="center" vertical="center"/>
    </xf>
    <xf numFmtId="0" fontId="72" fillId="0" borderId="10" xfId="0" applyFont="1" applyBorder="1" applyAlignment="1">
      <alignment vertical="center" wrapText="1"/>
    </xf>
    <xf numFmtId="0" fontId="54" fillId="0" borderId="10" xfId="0" applyFont="1" applyBorder="1" applyAlignment="1">
      <alignment horizontal="center" vertical="center"/>
    </xf>
    <xf numFmtId="0" fontId="54" fillId="0" borderId="10" xfId="0" applyFont="1" applyBorder="1" applyAlignment="1">
      <alignment vertical="center" wrapText="1"/>
    </xf>
    <xf numFmtId="0" fontId="95" fillId="0" borderId="122" xfId="592" applyBorder="1" applyAlignment="1">
      <alignment horizontal="center"/>
    </xf>
    <xf numFmtId="0" fontId="95" fillId="0" borderId="6" xfId="592" applyBorder="1" applyAlignment="1">
      <alignment horizontal="center"/>
    </xf>
    <xf numFmtId="0" fontId="95" fillId="0" borderId="10" xfId="592" applyBorder="1" applyAlignment="1">
      <alignment horizontal="center"/>
    </xf>
    <xf numFmtId="0" fontId="54" fillId="0" borderId="10" xfId="0" applyFont="1" applyBorder="1" applyAlignment="1">
      <alignment horizontal="left" vertical="center"/>
    </xf>
    <xf numFmtId="0" fontId="95" fillId="0" borderId="64" xfId="592" applyBorder="1" applyAlignment="1">
      <alignment horizontal="center"/>
    </xf>
    <xf numFmtId="0" fontId="95" fillId="0" borderId="70" xfId="592" applyBorder="1" applyAlignment="1">
      <alignment horizontal="center"/>
    </xf>
    <xf numFmtId="0" fontId="95" fillId="0" borderId="0" xfId="592" applyFill="1" applyAlignment="1">
      <alignment horizontal="center"/>
    </xf>
    <xf numFmtId="0" fontId="113" fillId="0" borderId="64" xfId="592" applyFont="1" applyFill="1" applyBorder="1" applyAlignment="1">
      <alignment horizontal="left" vertical="center" wrapText="1"/>
    </xf>
    <xf numFmtId="0" fontId="54" fillId="0" borderId="71" xfId="0" applyFont="1" applyBorder="1" applyAlignment="1">
      <alignment horizontal="left"/>
    </xf>
    <xf numFmtId="0" fontId="58" fillId="0" borderId="70" xfId="0" applyFont="1" applyBorder="1" applyAlignment="1">
      <alignment horizontal="center" vertical="center"/>
    </xf>
    <xf numFmtId="0" fontId="58" fillId="0" borderId="70" xfId="0" applyFont="1" applyBorder="1" applyAlignment="1">
      <alignment horizontal="center"/>
    </xf>
    <xf numFmtId="0" fontId="58" fillId="0" borderId="10" xfId="0" applyFont="1" applyBorder="1" applyAlignment="1">
      <alignment horizontal="center" vertical="center" wrapText="1"/>
      <extLst>
        <ext xmlns:xfpb="http://schemas.microsoft.com/office/spreadsheetml/2022/featurepropertybag" uri="{C7286773-470A-42A8-94C5-96B5CB345126}">
          <xfpb:xfComplement i="0"/>
        </ext>
      </extLst>
    </xf>
    <xf numFmtId="0" fontId="58" fillId="0" borderId="131" xfId="0" applyFont="1" applyBorder="1" applyAlignment="1">
      <alignment horizontal="left" vertical="center"/>
    </xf>
    <xf numFmtId="0" fontId="58" fillId="0" borderId="132" xfId="0" applyFont="1" applyBorder="1" applyAlignment="1">
      <alignment horizontal="center" vertical="center"/>
      <extLst>
        <ext xmlns:xfpb="http://schemas.microsoft.com/office/spreadsheetml/2022/featurepropertybag" uri="{C7286773-470A-42A8-94C5-96B5CB345126}">
          <xfpb:xfComplement i="0"/>
        </ext>
      </extLst>
    </xf>
    <xf numFmtId="0" fontId="58" fillId="0" borderId="132" xfId="0" applyFont="1" applyBorder="1" applyAlignment="1">
      <alignment horizontal="center" vertical="center" wrapText="1"/>
      <extLst>
        <ext xmlns:xfpb="http://schemas.microsoft.com/office/spreadsheetml/2022/featurepropertybag" uri="{C7286773-470A-42A8-94C5-96B5CB345126}">
          <xfpb:xfComplement i="0"/>
        </ext>
      </extLst>
    </xf>
    <xf numFmtId="0" fontId="58" fillId="0" borderId="133" xfId="0" applyFont="1" applyBorder="1" applyAlignment="1">
      <alignment horizontal="center" vertical="center" wrapText="1"/>
      <extLst>
        <ext xmlns:xfpb="http://schemas.microsoft.com/office/spreadsheetml/2022/featurepropertybag" uri="{C7286773-470A-42A8-94C5-96B5CB345126}">
          <xfpb:xfComplement i="0"/>
        </ext>
      </extLst>
    </xf>
    <xf numFmtId="0" fontId="58" fillId="0" borderId="105" xfId="0" applyFont="1" applyBorder="1" applyAlignment="1">
      <alignment horizontal="left" vertical="center"/>
    </xf>
    <xf numFmtId="0" fontId="58" fillId="0" borderId="114" xfId="0" applyFont="1" applyBorder="1" applyAlignment="1">
      <alignment horizontal="center" vertical="center" wrapText="1"/>
      <extLst>
        <ext xmlns:xfpb="http://schemas.microsoft.com/office/spreadsheetml/2022/featurepropertybag" uri="{C7286773-470A-42A8-94C5-96B5CB345126}">
          <xfpb:xfComplement i="0"/>
        </ext>
      </extLst>
    </xf>
    <xf numFmtId="0" fontId="58" fillId="0" borderId="134" xfId="0" applyFont="1" applyBorder="1" applyAlignment="1">
      <alignment horizontal="left" vertical="center"/>
    </xf>
    <xf numFmtId="0" fontId="58" fillId="0" borderId="135" xfId="0" applyFont="1" applyBorder="1" applyAlignment="1">
      <alignment horizontal="center" vertical="center"/>
      <extLst>
        <ext xmlns:xfpb="http://schemas.microsoft.com/office/spreadsheetml/2022/featurepropertybag" uri="{C7286773-470A-42A8-94C5-96B5CB345126}">
          <xfpb:xfComplement i="0"/>
        </ext>
      </extLst>
    </xf>
    <xf numFmtId="0" fontId="58" fillId="0" borderId="135" xfId="0" applyFont="1" applyBorder="1" applyAlignment="1">
      <alignment horizontal="center" vertical="center" wrapText="1"/>
      <extLst>
        <ext xmlns:xfpb="http://schemas.microsoft.com/office/spreadsheetml/2022/featurepropertybag" uri="{C7286773-470A-42A8-94C5-96B5CB345126}">
          <xfpb:xfComplement i="0"/>
        </ext>
      </extLst>
    </xf>
    <xf numFmtId="0" fontId="58" fillId="0" borderId="136" xfId="0" applyFont="1" applyBorder="1" applyAlignment="1">
      <alignment horizontal="center" vertical="center" wrapText="1"/>
      <extLst>
        <ext xmlns:xfpb="http://schemas.microsoft.com/office/spreadsheetml/2022/featurepropertybag" uri="{C7286773-470A-42A8-94C5-96B5CB345126}">
          <xfpb:xfComplement i="0"/>
        </ext>
      </extLst>
    </xf>
    <xf numFmtId="0" fontId="46" fillId="2" borderId="13" xfId="0" applyFont="1" applyFill="1" applyBorder="1" applyAlignment="1">
      <alignment horizontal="left"/>
    </xf>
    <xf numFmtId="0" fontId="46" fillId="2" borderId="0" xfId="0" applyFont="1" applyFill="1" applyAlignment="1">
      <alignment horizontal="left"/>
    </xf>
    <xf numFmtId="0" fontId="47" fillId="2" borderId="13" xfId="0" applyFont="1" applyFill="1" applyBorder="1" applyAlignment="1">
      <alignment horizontal="left" vertical="top" wrapText="1"/>
    </xf>
    <xf numFmtId="0" fontId="47" fillId="2" borderId="0" xfId="0" applyFont="1" applyFill="1" applyAlignment="1">
      <alignment horizontal="left" vertical="top" wrapText="1"/>
    </xf>
    <xf numFmtId="0" fontId="47" fillId="2" borderId="8" xfId="0" applyFont="1" applyFill="1" applyBorder="1" applyAlignment="1">
      <alignment horizontal="left" vertical="top" wrapText="1"/>
    </xf>
    <xf numFmtId="0" fontId="49" fillId="36" borderId="72" xfId="0" applyFont="1" applyFill="1" applyBorder="1" applyAlignment="1" applyProtection="1">
      <alignment horizontal="center" vertical="center" wrapText="1"/>
      <protection hidden="1"/>
    </xf>
    <xf numFmtId="0" fontId="49" fillId="36" borderId="73" xfId="0" applyFont="1" applyFill="1" applyBorder="1" applyAlignment="1" applyProtection="1">
      <alignment horizontal="center" vertical="center" wrapText="1"/>
      <protection hidden="1"/>
    </xf>
    <xf numFmtId="0" fontId="49" fillId="36" borderId="74" xfId="0" applyFont="1" applyFill="1" applyBorder="1" applyAlignment="1" applyProtection="1">
      <alignment horizontal="center" vertical="center" wrapText="1"/>
      <protection hidden="1"/>
    </xf>
    <xf numFmtId="0" fontId="53" fillId="2" borderId="64" xfId="0" applyFont="1" applyFill="1" applyBorder="1" applyProtection="1">
      <protection hidden="1"/>
    </xf>
    <xf numFmtId="0" fontId="21" fillId="2" borderId="16"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8" xfId="0" applyFont="1" applyFill="1" applyBorder="1" applyAlignment="1">
      <alignment horizontal="left" vertical="center" wrapText="1"/>
    </xf>
    <xf numFmtId="0" fontId="54" fillId="0" borderId="65" xfId="0" applyFont="1" applyBorder="1" applyAlignment="1">
      <alignment horizontal="left" vertical="center" wrapText="1"/>
    </xf>
    <xf numFmtId="0" fontId="54" fillId="0" borderId="71" xfId="0" applyFont="1" applyBorder="1" applyAlignment="1">
      <alignment horizontal="left" vertical="center" wrapText="1"/>
    </xf>
    <xf numFmtId="0" fontId="54" fillId="0" borderId="66" xfId="0" applyFont="1" applyBorder="1" applyAlignment="1">
      <alignment horizontal="left" vertical="center" wrapText="1"/>
    </xf>
    <xf numFmtId="0" fontId="54" fillId="0" borderId="67" xfId="0" applyFont="1" applyBorder="1" applyAlignment="1">
      <alignment horizontal="left" vertical="top" wrapText="1"/>
    </xf>
    <xf numFmtId="0" fontId="54" fillId="0" borderId="68" xfId="0" applyFont="1" applyBorder="1" applyAlignment="1">
      <alignment horizontal="left" vertical="top" wrapText="1"/>
    </xf>
    <xf numFmtId="0" fontId="54" fillId="0" borderId="69" xfId="0" applyFont="1" applyBorder="1" applyAlignment="1">
      <alignment horizontal="left" vertical="top" wrapText="1"/>
    </xf>
    <xf numFmtId="0" fontId="54" fillId="0" borderId="18" xfId="0" applyFont="1" applyBorder="1" applyAlignment="1">
      <alignment horizontal="left" vertical="top" wrapText="1"/>
    </xf>
    <xf numFmtId="0" fontId="54" fillId="0" borderId="9" xfId="0" applyFont="1" applyBorder="1" applyAlignment="1">
      <alignment horizontal="left" vertical="top" wrapText="1"/>
    </xf>
    <xf numFmtId="0" fontId="54" fillId="0" borderId="19" xfId="0" applyFont="1" applyBorder="1" applyAlignment="1">
      <alignment horizontal="left" vertical="top" wrapText="1"/>
    </xf>
    <xf numFmtId="0" fontId="51" fillId="36" borderId="92" xfId="0" applyFont="1" applyFill="1" applyBorder="1" applyAlignment="1" applyProtection="1">
      <alignment horizontal="center" vertical="center" wrapText="1"/>
      <protection hidden="1"/>
    </xf>
    <xf numFmtId="0" fontId="51" fillId="36" borderId="93" xfId="0" applyFont="1" applyFill="1" applyBorder="1" applyAlignment="1" applyProtection="1">
      <alignment horizontal="center" vertical="center" wrapText="1"/>
      <protection hidden="1"/>
    </xf>
    <xf numFmtId="0" fontId="51" fillId="36" borderId="94" xfId="0" applyFont="1" applyFill="1" applyBorder="1" applyAlignment="1" applyProtection="1">
      <alignment horizontal="center" vertical="center" wrapText="1"/>
      <protection hidden="1"/>
    </xf>
    <xf numFmtId="0" fontId="54" fillId="2" borderId="13" xfId="0" applyFont="1" applyFill="1" applyBorder="1" applyAlignment="1">
      <alignment horizontal="center" vertical="center" wrapText="1"/>
    </xf>
    <xf numFmtId="0" fontId="54" fillId="2" borderId="0" xfId="0" applyFont="1" applyFill="1" applyAlignment="1">
      <alignment horizontal="center" vertical="center" wrapText="1"/>
    </xf>
    <xf numFmtId="0" fontId="54" fillId="2" borderId="8" xfId="0" applyFont="1" applyFill="1" applyBorder="1" applyAlignment="1">
      <alignment horizontal="center" vertical="center" wrapText="1"/>
    </xf>
    <xf numFmtId="0" fontId="54" fillId="2" borderId="79" xfId="0" applyFont="1" applyFill="1" applyBorder="1" applyAlignment="1">
      <alignment horizontal="center" vertical="center" wrapText="1"/>
    </xf>
    <xf numFmtId="0" fontId="54" fillId="2" borderId="9" xfId="0" applyFont="1" applyFill="1" applyBorder="1" applyAlignment="1">
      <alignment horizontal="center" vertical="center" wrapText="1"/>
    </xf>
    <xf numFmtId="0" fontId="54" fillId="2" borderId="80" xfId="0" applyFont="1" applyFill="1" applyBorder="1" applyAlignment="1">
      <alignment horizontal="center" vertical="center" wrapText="1"/>
    </xf>
    <xf numFmtId="0" fontId="54" fillId="0" borderId="65" xfId="0" applyFont="1" applyBorder="1" applyAlignment="1">
      <alignment horizontal="left" vertical="top" wrapText="1"/>
    </xf>
    <xf numFmtId="0" fontId="54" fillId="0" borderId="71" xfId="0" applyFont="1" applyBorder="1" applyAlignment="1">
      <alignment horizontal="left" vertical="top" wrapText="1"/>
    </xf>
    <xf numFmtId="0" fontId="54" fillId="0" borderId="66" xfId="0" applyFont="1" applyBorder="1" applyAlignment="1">
      <alignment horizontal="left" vertical="top" wrapText="1"/>
    </xf>
    <xf numFmtId="0" fontId="54" fillId="0" borderId="81" xfId="0" applyFont="1" applyBorder="1" applyAlignment="1">
      <alignment horizontal="left" vertical="center" wrapText="1"/>
    </xf>
    <xf numFmtId="0" fontId="54" fillId="0" borderId="82" xfId="0" applyFont="1" applyBorder="1" applyAlignment="1">
      <alignment horizontal="left" vertical="center" wrapText="1"/>
    </xf>
    <xf numFmtId="0" fontId="54" fillId="0" borderId="83" xfId="0" applyFont="1" applyBorder="1" applyAlignment="1">
      <alignment horizontal="left" vertical="center" wrapText="1"/>
    </xf>
    <xf numFmtId="0" fontId="51" fillId="36" borderId="56" xfId="0" applyFont="1" applyFill="1" applyBorder="1" applyAlignment="1" applyProtection="1">
      <alignment horizontal="center" vertical="center"/>
      <protection hidden="1"/>
    </xf>
    <xf numFmtId="0" fontId="51" fillId="36" borderId="57" xfId="0" applyFont="1" applyFill="1" applyBorder="1" applyAlignment="1" applyProtection="1">
      <alignment horizontal="center" vertical="center"/>
      <protection hidden="1"/>
    </xf>
    <xf numFmtId="0" fontId="51" fillId="36" borderId="63" xfId="0" applyFont="1" applyFill="1" applyBorder="1" applyAlignment="1" applyProtection="1">
      <alignment horizontal="center" vertical="center"/>
      <protection hidden="1"/>
    </xf>
    <xf numFmtId="0" fontId="53" fillId="37" borderId="58" xfId="0" applyFont="1" applyFill="1" applyBorder="1" applyAlignment="1" applyProtection="1">
      <alignment horizontal="left" vertical="center"/>
      <protection hidden="1"/>
    </xf>
    <xf numFmtId="0" fontId="53" fillId="37" borderId="12" xfId="0" applyFont="1" applyFill="1" applyBorder="1" applyAlignment="1" applyProtection="1">
      <alignment horizontal="left" vertical="center"/>
      <protection hidden="1"/>
    </xf>
    <xf numFmtId="0" fontId="53" fillId="37" borderId="59" xfId="0" applyFont="1" applyFill="1" applyBorder="1" applyAlignment="1" applyProtection="1">
      <alignment horizontal="left" vertical="center"/>
      <protection hidden="1"/>
    </xf>
    <xf numFmtId="0" fontId="58" fillId="0" borderId="11" xfId="0" applyFont="1" applyBorder="1" applyAlignment="1">
      <alignment horizontal="center"/>
    </xf>
    <xf numFmtId="0" fontId="58" fillId="0" borderId="12" xfId="0" applyFont="1" applyBorder="1" applyAlignment="1">
      <alignment horizontal="center"/>
    </xf>
    <xf numFmtId="0" fontId="58" fillId="0" borderId="59" xfId="0" applyFont="1" applyBorder="1" applyAlignment="1">
      <alignment horizontal="center"/>
    </xf>
    <xf numFmtId="0" fontId="79" fillId="0" borderId="64" xfId="0" applyFont="1" applyBorder="1" applyAlignment="1">
      <alignment horizontal="center" vertical="center" wrapText="1"/>
    </xf>
    <xf numFmtId="0" fontId="54" fillId="0" borderId="64" xfId="0" applyFont="1" applyBorder="1" applyAlignment="1">
      <alignment horizontal="left" vertical="center" wrapText="1"/>
    </xf>
    <xf numFmtId="0" fontId="57" fillId="0" borderId="64" xfId="0" applyFont="1" applyBorder="1" applyAlignment="1">
      <alignment horizontal="center" vertical="center" wrapText="1"/>
    </xf>
    <xf numFmtId="0" fontId="51" fillId="36" borderId="53" xfId="0" applyFont="1" applyFill="1" applyBorder="1" applyAlignment="1" applyProtection="1">
      <alignment horizontal="center" vertical="center"/>
      <protection hidden="1"/>
    </xf>
    <xf numFmtId="0" fontId="51" fillId="36" borderId="54" xfId="0" applyFont="1" applyFill="1" applyBorder="1" applyAlignment="1" applyProtection="1">
      <alignment horizontal="center" vertical="center"/>
      <protection hidden="1"/>
    </xf>
    <xf numFmtId="0" fontId="51" fillId="36" borderId="55" xfId="0" applyFont="1" applyFill="1" applyBorder="1" applyAlignment="1" applyProtection="1">
      <alignment horizontal="center" vertical="center"/>
      <protection hidden="1"/>
    </xf>
    <xf numFmtId="0" fontId="54" fillId="0" borderId="67" xfId="0" applyFont="1" applyBorder="1" applyAlignment="1">
      <alignment horizontal="left" vertical="center" wrapText="1"/>
    </xf>
    <xf numFmtId="0" fontId="54" fillId="0" borderId="68" xfId="0" applyFont="1" applyBorder="1" applyAlignment="1">
      <alignment horizontal="left" vertical="center" wrapText="1"/>
    </xf>
    <xf numFmtId="0" fontId="54" fillId="0" borderId="69" xfId="0" applyFont="1" applyBorder="1" applyAlignment="1">
      <alignment horizontal="left" vertical="center" wrapText="1"/>
    </xf>
    <xf numFmtId="0" fontId="54" fillId="0" borderId="16" xfId="0" applyFont="1" applyBorder="1" applyAlignment="1">
      <alignment horizontal="left" vertical="center" wrapText="1"/>
    </xf>
    <xf numFmtId="0" fontId="54" fillId="0" borderId="0" xfId="0" applyFont="1" applyAlignment="1">
      <alignment horizontal="left" vertical="center" wrapText="1"/>
    </xf>
    <xf numFmtId="0" fontId="54" fillId="0" borderId="17" xfId="0" applyFont="1" applyBorder="1" applyAlignment="1">
      <alignment horizontal="left" vertical="center" wrapText="1"/>
    </xf>
    <xf numFmtId="0" fontId="54" fillId="0" borderId="18" xfId="0" applyFont="1" applyBorder="1" applyAlignment="1">
      <alignment horizontal="left" vertical="center" wrapText="1"/>
    </xf>
    <xf numFmtId="0" fontId="54" fillId="0" borderId="9" xfId="0" applyFont="1" applyBorder="1" applyAlignment="1">
      <alignment horizontal="left" vertical="center" wrapText="1"/>
    </xf>
    <xf numFmtId="0" fontId="54" fillId="0" borderId="19" xfId="0" applyFont="1" applyBorder="1" applyAlignment="1">
      <alignment horizontal="left" vertical="center" wrapText="1"/>
    </xf>
    <xf numFmtId="0" fontId="59" fillId="0" borderId="64" xfId="0" applyFont="1" applyBorder="1" applyAlignment="1">
      <alignment horizontal="center" vertical="center" wrapText="1"/>
    </xf>
    <xf numFmtId="0" fontId="61" fillId="0" borderId="64" xfId="0" applyFont="1" applyBorder="1" applyAlignment="1">
      <alignment horizontal="center" vertical="center" wrapText="1"/>
    </xf>
    <xf numFmtId="0" fontId="85" fillId="61" borderId="70" xfId="0" applyFont="1" applyFill="1" applyBorder="1" applyAlignment="1">
      <alignment horizontal="center" vertical="center" wrapText="1"/>
    </xf>
    <xf numFmtId="0" fontId="85" fillId="61" borderId="21" xfId="0" applyFont="1" applyFill="1" applyBorder="1" applyAlignment="1">
      <alignment horizontal="center" vertical="center" wrapText="1"/>
    </xf>
    <xf numFmtId="0" fontId="85" fillId="61" borderId="10" xfId="0" applyFont="1" applyFill="1" applyBorder="1" applyAlignment="1">
      <alignment horizontal="center" vertical="center" wrapText="1"/>
    </xf>
    <xf numFmtId="2" fontId="63" fillId="0" borderId="7" xfId="0" applyNumberFormat="1" applyFont="1" applyBorder="1" applyAlignment="1">
      <alignment horizontal="center" vertical="center"/>
    </xf>
    <xf numFmtId="0" fontId="63" fillId="0" borderId="7" xfId="0" applyFont="1" applyBorder="1" applyAlignment="1">
      <alignment horizontal="center"/>
    </xf>
    <xf numFmtId="0" fontId="63" fillId="0" borderId="64" xfId="0" applyFont="1" applyBorder="1" applyAlignment="1">
      <alignment horizontal="center"/>
    </xf>
    <xf numFmtId="0" fontId="58" fillId="0" borderId="11" xfId="0" applyFont="1" applyBorder="1" applyAlignment="1">
      <alignment horizontal="left"/>
    </xf>
    <xf numFmtId="0" fontId="58" fillId="0" borderId="71" xfId="0" applyFont="1" applyBorder="1" applyAlignment="1">
      <alignment horizontal="left"/>
    </xf>
    <xf numFmtId="0" fontId="58" fillId="0" borderId="22" xfId="0" applyFont="1" applyBorder="1" applyAlignment="1">
      <alignment horizontal="left"/>
    </xf>
    <xf numFmtId="0" fontId="54" fillId="0" borderId="11" xfId="0" applyFont="1" applyBorder="1" applyAlignment="1">
      <alignment horizontal="left"/>
    </xf>
    <xf numFmtId="0" fontId="54" fillId="0" borderId="71" xfId="0" applyFont="1" applyBorder="1" applyAlignment="1">
      <alignment horizontal="left"/>
    </xf>
    <xf numFmtId="0" fontId="54" fillId="0" borderId="22" xfId="0" applyFont="1" applyBorder="1" applyAlignment="1">
      <alignment horizontal="left"/>
    </xf>
    <xf numFmtId="0" fontId="58" fillId="0" borderId="7" xfId="0" applyFont="1" applyBorder="1" applyAlignment="1">
      <alignment horizontal="left" vertical="center" wrapText="1"/>
    </xf>
    <xf numFmtId="0" fontId="58" fillId="0" borderId="64" xfId="0" applyFont="1" applyBorder="1" applyAlignment="1">
      <alignment horizontal="left" vertical="center" wrapText="1"/>
    </xf>
    <xf numFmtId="0" fontId="67" fillId="0" borderId="7" xfId="0" applyFont="1" applyBorder="1" applyAlignment="1">
      <alignment horizontal="left" vertical="center" wrapText="1"/>
    </xf>
    <xf numFmtId="0" fontId="65" fillId="0" borderId="7" xfId="0" applyFont="1" applyBorder="1" applyAlignment="1">
      <alignment horizontal="center" vertical="center" wrapText="1"/>
    </xf>
    <xf numFmtId="0" fontId="67" fillId="0" borderId="50" xfId="0" applyFont="1" applyBorder="1" applyAlignment="1">
      <alignment horizontal="left" vertical="center" wrapText="1"/>
    </xf>
    <xf numFmtId="0" fontId="67" fillId="0" borderId="51" xfId="0" applyFont="1" applyBorder="1" applyAlignment="1">
      <alignment horizontal="left" vertical="center" wrapText="1"/>
    </xf>
    <xf numFmtId="0" fontId="67" fillId="0" borderId="15" xfId="0" applyFont="1" applyBorder="1" applyAlignment="1">
      <alignment horizontal="left" vertical="center" wrapText="1"/>
    </xf>
    <xf numFmtId="0" fontId="67" fillId="0" borderId="16" xfId="0" applyFont="1" applyBorder="1" applyAlignment="1">
      <alignment horizontal="left" vertical="center" wrapText="1"/>
    </xf>
    <xf numFmtId="0" fontId="67" fillId="0" borderId="0" xfId="0" applyFont="1" applyAlignment="1">
      <alignment horizontal="left" vertical="center" wrapText="1"/>
    </xf>
    <xf numFmtId="0" fontId="67" fillId="0" borderId="17" xfId="0" applyFont="1" applyBorder="1" applyAlignment="1">
      <alignment horizontal="left" vertical="center" wrapText="1"/>
    </xf>
    <xf numFmtId="0" fontId="67" fillId="0" borderId="18" xfId="0" applyFont="1" applyBorder="1" applyAlignment="1">
      <alignment horizontal="left" vertical="center" wrapText="1"/>
    </xf>
    <xf numFmtId="0" fontId="67" fillId="0" borderId="9" xfId="0" applyFont="1" applyBorder="1" applyAlignment="1">
      <alignment horizontal="left" vertical="center" wrapText="1"/>
    </xf>
    <xf numFmtId="0" fontId="67" fillId="0" borderId="19" xfId="0" applyFont="1" applyBorder="1" applyAlignment="1">
      <alignment horizontal="left" vertical="center" wrapText="1"/>
    </xf>
    <xf numFmtId="0" fontId="67" fillId="0" borderId="20" xfId="0" applyFont="1" applyBorder="1" applyAlignment="1">
      <alignment horizontal="center" vertical="center"/>
    </xf>
    <xf numFmtId="0" fontId="67" fillId="0" borderId="21" xfId="0" applyFont="1" applyBorder="1" applyAlignment="1">
      <alignment horizontal="center" vertical="center"/>
    </xf>
    <xf numFmtId="0" fontId="67" fillId="0" borderId="10" xfId="0" applyFont="1" applyBorder="1" applyAlignment="1">
      <alignment horizontal="center" vertical="center"/>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0" xfId="0" applyFont="1" applyAlignment="1">
      <alignment horizontal="center" vertical="center" wrapText="1"/>
    </xf>
    <xf numFmtId="0" fontId="65" fillId="0" borderId="17" xfId="0" applyFont="1" applyBorder="1" applyAlignment="1">
      <alignment horizontal="center" vertical="center" wrapText="1"/>
    </xf>
    <xf numFmtId="0" fontId="65" fillId="0" borderId="18"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19" xfId="0" applyFont="1" applyBorder="1" applyAlignment="1">
      <alignment horizontal="center" vertical="center" wrapText="1"/>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2" fillId="0" borderId="6" xfId="0" applyFont="1" applyBorder="1" applyAlignment="1">
      <alignment horizontal="center" vertical="center"/>
    </xf>
    <xf numFmtId="0" fontId="66" fillId="0" borderId="50" xfId="0" applyFont="1" applyBorder="1" applyAlignment="1">
      <alignment horizontal="left" vertical="center" wrapText="1"/>
    </xf>
    <xf numFmtId="0" fontId="66" fillId="0" borderId="51" xfId="0" applyFont="1" applyBorder="1" applyAlignment="1">
      <alignment horizontal="left" vertical="center" wrapText="1"/>
    </xf>
    <xf numFmtId="0" fontId="66" fillId="0" borderId="15" xfId="0" applyFont="1" applyBorder="1" applyAlignment="1">
      <alignment horizontal="left" vertical="center" wrapText="1"/>
    </xf>
    <xf numFmtId="0" fontId="66" fillId="0" borderId="16" xfId="0" applyFont="1" applyBorder="1" applyAlignment="1">
      <alignment horizontal="left" vertical="center" wrapText="1"/>
    </xf>
    <xf numFmtId="0" fontId="66" fillId="0" borderId="0" xfId="0" applyFont="1" applyAlignment="1">
      <alignment horizontal="left" vertical="center" wrapText="1"/>
    </xf>
    <xf numFmtId="0" fontId="66" fillId="0" borderId="17" xfId="0" applyFont="1" applyBorder="1" applyAlignment="1">
      <alignment horizontal="left" vertical="center" wrapText="1"/>
    </xf>
    <xf numFmtId="0" fontId="66" fillId="0" borderId="18" xfId="0" applyFont="1" applyBorder="1" applyAlignment="1">
      <alignment horizontal="left" vertical="center" wrapText="1"/>
    </xf>
    <xf numFmtId="0" fontId="66" fillId="0" borderId="9" xfId="0" applyFont="1" applyBorder="1" applyAlignment="1">
      <alignment horizontal="left" vertical="center" wrapText="1"/>
    </xf>
    <xf numFmtId="0" fontId="66" fillId="0" borderId="19" xfId="0" applyFont="1" applyBorder="1" applyAlignment="1">
      <alignment horizontal="left" vertical="center" wrapText="1"/>
    </xf>
    <xf numFmtId="0" fontId="65" fillId="0" borderId="50" xfId="0" applyFont="1" applyBorder="1" applyAlignment="1">
      <alignment horizontal="left" vertical="center" wrapText="1"/>
    </xf>
    <xf numFmtId="0" fontId="65" fillId="0" borderId="51" xfId="0" applyFont="1" applyBorder="1" applyAlignment="1">
      <alignment horizontal="left" vertical="center" wrapText="1"/>
    </xf>
    <xf numFmtId="0" fontId="65" fillId="0" borderId="15" xfId="0" applyFont="1" applyBorder="1" applyAlignment="1">
      <alignment horizontal="left" vertical="center" wrapText="1"/>
    </xf>
    <xf numFmtId="0" fontId="65" fillId="0" borderId="16" xfId="0" applyFont="1" applyBorder="1" applyAlignment="1">
      <alignment horizontal="left" vertical="center" wrapText="1"/>
    </xf>
    <xf numFmtId="0" fontId="65" fillId="0" borderId="0" xfId="0" applyFont="1" applyAlignment="1">
      <alignment horizontal="left" vertical="center" wrapText="1"/>
    </xf>
    <xf numFmtId="0" fontId="65" fillId="0" borderId="17" xfId="0" applyFont="1" applyBorder="1" applyAlignment="1">
      <alignment horizontal="left" vertical="center" wrapText="1"/>
    </xf>
    <xf numFmtId="0" fontId="65" fillId="0" borderId="18" xfId="0" applyFont="1" applyBorder="1" applyAlignment="1">
      <alignment horizontal="left" vertical="center" wrapText="1"/>
    </xf>
    <xf numFmtId="0" fontId="65" fillId="0" borderId="9" xfId="0" applyFont="1" applyBorder="1" applyAlignment="1">
      <alignment horizontal="left" vertical="center" wrapText="1"/>
    </xf>
    <xf numFmtId="0" fontId="65" fillId="0" borderId="19" xfId="0" applyFont="1" applyBorder="1" applyAlignment="1">
      <alignment horizontal="left" vertical="center" wrapText="1"/>
    </xf>
    <xf numFmtId="0" fontId="58" fillId="0" borderId="50" xfId="0" applyFont="1" applyBorder="1" applyAlignment="1">
      <alignment horizontal="left" vertical="center" wrapText="1"/>
    </xf>
    <xf numFmtId="0" fontId="58" fillId="0" borderId="51" xfId="0" applyFont="1" applyBorder="1" applyAlignment="1">
      <alignment horizontal="left" vertical="center" wrapText="1"/>
    </xf>
    <xf numFmtId="0" fontId="58" fillId="0" borderId="15" xfId="0" applyFont="1" applyBorder="1" applyAlignment="1">
      <alignment horizontal="left" vertical="center" wrapText="1"/>
    </xf>
    <xf numFmtId="0" fontId="58" fillId="0" borderId="16" xfId="0" applyFont="1" applyBorder="1" applyAlignment="1">
      <alignment horizontal="left" vertical="center" wrapText="1"/>
    </xf>
    <xf numFmtId="0" fontId="58" fillId="0" borderId="0" xfId="0" applyFont="1" applyAlignment="1">
      <alignment horizontal="left" vertical="center" wrapText="1"/>
    </xf>
    <xf numFmtId="0" fontId="58" fillId="0" borderId="17" xfId="0" applyFont="1" applyBorder="1" applyAlignment="1">
      <alignment horizontal="left" vertical="center" wrapText="1"/>
    </xf>
    <xf numFmtId="0" fontId="58" fillId="0" borderId="18" xfId="0" applyFont="1" applyBorder="1" applyAlignment="1">
      <alignment horizontal="left" vertical="center" wrapText="1"/>
    </xf>
    <xf numFmtId="0" fontId="58" fillId="0" borderId="9" xfId="0" applyFont="1" applyBorder="1" applyAlignment="1">
      <alignment horizontal="left" vertical="center" wrapText="1"/>
    </xf>
    <xf numFmtId="0" fontId="58" fillId="0" borderId="19" xfId="0" applyFont="1" applyBorder="1" applyAlignment="1">
      <alignment horizontal="left" vertical="center" wrapText="1"/>
    </xf>
    <xf numFmtId="0" fontId="54" fillId="0" borderId="65" xfId="0" applyFont="1" applyBorder="1" applyAlignment="1">
      <alignment horizontal="left"/>
    </xf>
    <xf numFmtId="0" fontId="54" fillId="0" borderId="66" xfId="0" applyFont="1" applyBorder="1" applyAlignment="1">
      <alignment horizontal="left"/>
    </xf>
    <xf numFmtId="0" fontId="68" fillId="0" borderId="0" xfId="0" applyFont="1" applyAlignment="1">
      <alignment horizontal="center"/>
    </xf>
    <xf numFmtId="0" fontId="58" fillId="0" borderId="7" xfId="0" applyFont="1" applyBorder="1" applyAlignment="1">
      <alignment horizontal="left" vertical="center"/>
    </xf>
    <xf numFmtId="0" fontId="58" fillId="0" borderId="64" xfId="0" applyFont="1" applyBorder="1" applyAlignment="1">
      <alignment horizontal="left" vertical="center"/>
    </xf>
    <xf numFmtId="0" fontId="67" fillId="0" borderId="7" xfId="0" applyFont="1" applyBorder="1" applyAlignment="1">
      <alignment horizontal="center" vertical="center"/>
    </xf>
    <xf numFmtId="0" fontId="58" fillId="0" borderId="67" xfId="0" applyFont="1" applyBorder="1" applyAlignment="1">
      <alignment horizontal="left" vertical="center" wrapText="1"/>
    </xf>
    <xf numFmtId="0" fontId="58" fillId="0" borderId="68" xfId="0" applyFont="1" applyBorder="1" applyAlignment="1">
      <alignment horizontal="left" vertical="center" wrapText="1"/>
    </xf>
    <xf numFmtId="0" fontId="58" fillId="0" borderId="69" xfId="0" applyFont="1" applyBorder="1" applyAlignment="1">
      <alignment horizontal="left" vertical="center" wrapText="1"/>
    </xf>
    <xf numFmtId="0" fontId="65" fillId="0" borderId="67"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67" fillId="0" borderId="67" xfId="0" applyFont="1" applyBorder="1" applyAlignment="1">
      <alignment horizontal="left" vertical="center" wrapText="1"/>
    </xf>
    <xf numFmtId="0" fontId="67" fillId="0" borderId="68" xfId="0" applyFont="1" applyBorder="1" applyAlignment="1">
      <alignment horizontal="left" vertical="center" wrapText="1"/>
    </xf>
    <xf numFmtId="0" fontId="67" fillId="0" borderId="69" xfId="0" applyFont="1" applyBorder="1" applyAlignment="1">
      <alignment horizontal="left" vertical="center" wrapText="1"/>
    </xf>
    <xf numFmtId="9" fontId="107" fillId="0" borderId="64" xfId="591" applyFont="1" applyBorder="1" applyAlignment="1">
      <alignment horizontal="center" vertical="center" wrapText="1"/>
    </xf>
    <xf numFmtId="0" fontId="58" fillId="0" borderId="11" xfId="0" applyFont="1" applyBorder="1" applyAlignment="1">
      <alignment horizontal="left" vertical="top"/>
    </xf>
    <xf numFmtId="0" fontId="58" fillId="0" borderId="71" xfId="0" applyFont="1" applyBorder="1" applyAlignment="1">
      <alignment horizontal="left" vertical="top"/>
    </xf>
    <xf numFmtId="0" fontId="58" fillId="0" borderId="22" xfId="0" applyFont="1" applyBorder="1" applyAlignment="1">
      <alignment horizontal="left" vertical="top"/>
    </xf>
    <xf numFmtId="0" fontId="65" fillId="0" borderId="67" xfId="0" applyFont="1" applyBorder="1" applyAlignment="1">
      <alignment horizontal="left" vertical="center" wrapText="1"/>
    </xf>
    <xf numFmtId="0" fontId="65" fillId="0" borderId="68" xfId="0" applyFont="1" applyBorder="1" applyAlignment="1">
      <alignment horizontal="left" vertical="center" wrapText="1"/>
    </xf>
    <xf numFmtId="0" fontId="65" fillId="0" borderId="69" xfId="0" applyFont="1" applyBorder="1" applyAlignment="1">
      <alignment horizontal="left" vertical="center" wrapText="1"/>
    </xf>
    <xf numFmtId="0" fontId="67" fillId="0" borderId="70" xfId="0" applyFont="1" applyBorder="1" applyAlignment="1">
      <alignment horizontal="center" vertical="center"/>
    </xf>
    <xf numFmtId="0" fontId="85" fillId="61" borderId="64" xfId="0" applyFont="1" applyFill="1" applyBorder="1" applyAlignment="1">
      <alignment horizontal="center" vertical="center" wrapText="1"/>
    </xf>
    <xf numFmtId="0" fontId="58" fillId="0" borderId="18" xfId="0" applyFont="1" applyBorder="1" applyAlignment="1">
      <alignment horizontal="left" vertical="center"/>
    </xf>
    <xf numFmtId="0" fontId="58" fillId="0" borderId="9" xfId="0" applyFont="1" applyBorder="1" applyAlignment="1">
      <alignment horizontal="left" vertical="center"/>
    </xf>
    <xf numFmtId="0" fontId="58" fillId="0" borderId="19" xfId="0" applyFont="1" applyBorder="1" applyAlignment="1">
      <alignment horizontal="left" vertical="center"/>
    </xf>
    <xf numFmtId="0" fontId="58" fillId="0" borderId="65" xfId="0" applyFont="1" applyBorder="1" applyAlignment="1">
      <alignment horizontal="left" vertical="center"/>
    </xf>
    <xf numFmtId="0" fontId="58" fillId="0" borderId="71" xfId="0" applyFont="1" applyBorder="1" applyAlignment="1">
      <alignment horizontal="left" vertical="center"/>
    </xf>
    <xf numFmtId="0" fontId="58" fillId="0" borderId="66" xfId="0" applyFont="1" applyBorder="1" applyAlignment="1">
      <alignment horizontal="left" vertical="center"/>
    </xf>
    <xf numFmtId="0" fontId="85" fillId="61" borderId="70" xfId="0" applyFont="1" applyFill="1" applyBorder="1" applyAlignment="1">
      <alignment horizontal="center" vertical="center"/>
    </xf>
    <xf numFmtId="0" fontId="85" fillId="61" borderId="21" xfId="0" applyFont="1" applyFill="1" applyBorder="1" applyAlignment="1">
      <alignment horizontal="center" vertical="center"/>
    </xf>
    <xf numFmtId="0" fontId="85" fillId="61" borderId="10" xfId="0" applyFont="1" applyFill="1" applyBorder="1" applyAlignment="1">
      <alignment horizontal="center" vertical="center"/>
    </xf>
    <xf numFmtId="0" fontId="58" fillId="0" borderId="9" xfId="0" applyFont="1" applyBorder="1" applyAlignment="1">
      <alignment horizontal="center" vertical="center" wrapText="1"/>
    </xf>
    <xf numFmtId="0" fontId="68" fillId="0" borderId="11" xfId="0" applyFont="1" applyBorder="1" applyAlignment="1">
      <alignment horizontal="center"/>
    </xf>
    <xf numFmtId="0" fontId="68" fillId="0" borderId="12" xfId="0" applyFont="1" applyBorder="1" applyAlignment="1">
      <alignment horizontal="center"/>
    </xf>
    <xf numFmtId="0" fontId="68" fillId="0" borderId="71" xfId="0" applyFont="1" applyBorder="1" applyAlignment="1">
      <alignment horizontal="center"/>
    </xf>
    <xf numFmtId="0" fontId="68" fillId="0" borderId="22" xfId="0" applyFont="1" applyBorder="1" applyAlignment="1">
      <alignment horizontal="center"/>
    </xf>
    <xf numFmtId="0" fontId="58" fillId="0" borderId="11" xfId="0" applyFont="1" applyBorder="1" applyAlignment="1">
      <alignment horizontal="left" vertical="center"/>
    </xf>
    <xf numFmtId="0" fontId="58" fillId="0" borderId="22" xfId="0" applyFont="1" applyBorder="1" applyAlignment="1">
      <alignment horizontal="left" vertical="center"/>
    </xf>
    <xf numFmtId="0" fontId="58" fillId="0" borderId="65" xfId="0" applyFont="1" applyBorder="1" applyAlignment="1">
      <alignment horizontal="left"/>
    </xf>
    <xf numFmtId="0" fontId="58" fillId="0" borderId="66" xfId="0" applyFont="1" applyBorder="1" applyAlignment="1">
      <alignment horizontal="left"/>
    </xf>
    <xf numFmtId="0" fontId="67" fillId="0" borderId="67" xfId="0" applyFont="1" applyBorder="1" applyAlignment="1">
      <alignment horizontal="center" vertical="center" wrapText="1"/>
    </xf>
    <xf numFmtId="0" fontId="67" fillId="0" borderId="68" xfId="0" applyFont="1" applyBorder="1" applyAlignment="1">
      <alignment horizontal="center" vertical="center" wrapText="1"/>
    </xf>
    <xf numFmtId="0" fontId="67" fillId="0" borderId="69" xfId="0" applyFont="1" applyBorder="1" applyAlignment="1">
      <alignment horizontal="center" vertical="center" wrapText="1"/>
    </xf>
    <xf numFmtId="0" fontId="67" fillId="0" borderId="16" xfId="0" applyFont="1" applyBorder="1" applyAlignment="1">
      <alignment horizontal="center" vertical="center" wrapText="1"/>
    </xf>
    <xf numFmtId="0" fontId="67" fillId="0" borderId="0" xfId="0" applyFont="1" applyAlignment="1">
      <alignment horizontal="center" vertical="center" wrapText="1"/>
    </xf>
    <xf numFmtId="0" fontId="67" fillId="0" borderId="17" xfId="0" applyFont="1" applyBorder="1" applyAlignment="1">
      <alignment horizontal="center" vertical="center" wrapText="1"/>
    </xf>
    <xf numFmtId="0" fontId="67" fillId="0" borderId="1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19" xfId="0" applyFont="1" applyBorder="1" applyAlignment="1">
      <alignment horizontal="center" vertical="center" wrapText="1"/>
    </xf>
    <xf numFmtId="0" fontId="107" fillId="0" borderId="64" xfId="0" applyFont="1" applyBorder="1" applyAlignment="1">
      <alignment horizontal="center" vertical="center" wrapText="1"/>
    </xf>
    <xf numFmtId="0" fontId="58" fillId="0" borderId="64" xfId="0" applyFont="1" applyBorder="1" applyAlignment="1">
      <alignment horizontal="center" vertical="center" wrapText="1"/>
    </xf>
    <xf numFmtId="0" fontId="65" fillId="0" borderId="67" xfId="0" applyFont="1" applyBorder="1" applyAlignment="1">
      <alignment horizontal="left" vertical="top" wrapText="1"/>
    </xf>
    <xf numFmtId="0" fontId="65" fillId="0" borderId="68" xfId="0" applyFont="1" applyBorder="1" applyAlignment="1">
      <alignment horizontal="left" vertical="top" wrapText="1"/>
    </xf>
    <xf numFmtId="0" fontId="65" fillId="0" borderId="69" xfId="0" applyFont="1" applyBorder="1" applyAlignment="1">
      <alignment horizontal="left" vertical="top" wrapText="1"/>
    </xf>
    <xf numFmtId="0" fontId="65" fillId="0" borderId="16" xfId="0" applyFont="1" applyBorder="1" applyAlignment="1">
      <alignment horizontal="left" vertical="top" wrapText="1"/>
    </xf>
    <xf numFmtId="0" fontId="65" fillId="0" borderId="0" xfId="0" applyFont="1" applyAlignment="1">
      <alignment horizontal="left" vertical="top" wrapText="1"/>
    </xf>
    <xf numFmtId="0" fontId="65" fillId="0" borderId="17" xfId="0" applyFont="1" applyBorder="1" applyAlignment="1">
      <alignment horizontal="left" vertical="top" wrapText="1"/>
    </xf>
    <xf numFmtId="0" fontId="65" fillId="0" borderId="18" xfId="0" applyFont="1" applyBorder="1" applyAlignment="1">
      <alignment horizontal="left" vertical="top" wrapText="1"/>
    </xf>
    <xf numFmtId="0" fontId="65" fillId="0" borderId="9" xfId="0" applyFont="1" applyBorder="1" applyAlignment="1">
      <alignment horizontal="left" vertical="top" wrapText="1"/>
    </xf>
    <xf numFmtId="0" fontId="65" fillId="0" borderId="19" xfId="0" applyFont="1" applyBorder="1" applyAlignment="1">
      <alignment horizontal="left" vertical="top" wrapText="1"/>
    </xf>
    <xf numFmtId="0" fontId="66" fillId="0" borderId="7" xfId="0" applyFont="1" applyBorder="1" applyAlignment="1">
      <alignment horizontal="center" vertical="center" wrapText="1"/>
    </xf>
    <xf numFmtId="0" fontId="67" fillId="0" borderId="7" xfId="0" applyFont="1" applyBorder="1" applyAlignment="1">
      <alignment vertical="center" wrapText="1"/>
    </xf>
    <xf numFmtId="0" fontId="54" fillId="0" borderId="50" xfId="0" applyFont="1" applyBorder="1" applyAlignment="1">
      <alignment horizontal="left" vertical="center" wrapText="1"/>
    </xf>
    <xf numFmtId="0" fontId="54" fillId="0" borderId="15" xfId="0" applyFont="1" applyBorder="1" applyAlignment="1">
      <alignment horizontal="left"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0" xfId="0" applyFont="1" applyAlignment="1">
      <alignment horizontal="center" vertical="center" wrapText="1"/>
    </xf>
    <xf numFmtId="0" fontId="66" fillId="0" borderId="17"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9" xfId="0" applyFont="1" applyBorder="1" applyAlignment="1">
      <alignment horizontal="center" vertical="center" wrapText="1"/>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24" fillId="0" borderId="69" xfId="0" applyFont="1" applyBorder="1" applyAlignment="1">
      <alignment horizontal="left"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9" xfId="0" applyFont="1" applyBorder="1" applyAlignment="1">
      <alignment horizontal="left" vertical="center" wrapText="1"/>
    </xf>
    <xf numFmtId="0" fontId="24" fillId="0" borderId="19" xfId="0" applyFont="1" applyBorder="1" applyAlignment="1">
      <alignment horizontal="left" vertical="center" wrapText="1"/>
    </xf>
    <xf numFmtId="0" fontId="86" fillId="61" borderId="70" xfId="0" applyFont="1" applyFill="1" applyBorder="1" applyAlignment="1">
      <alignment horizontal="center" vertical="center"/>
    </xf>
    <xf numFmtId="0" fontId="86" fillId="61" borderId="21" xfId="0" applyFont="1" applyFill="1" applyBorder="1" applyAlignment="1">
      <alignment horizontal="center" vertical="center"/>
    </xf>
    <xf numFmtId="0" fontId="86" fillId="61" borderId="10" xfId="0" applyFont="1" applyFill="1" applyBorder="1" applyAlignment="1">
      <alignment horizontal="center" vertical="center"/>
    </xf>
    <xf numFmtId="0" fontId="56" fillId="0" borderId="65" xfId="0" applyFont="1" applyBorder="1" applyAlignment="1">
      <alignment horizontal="center" vertical="center"/>
    </xf>
    <xf numFmtId="0" fontId="56" fillId="0" borderId="71" xfId="0" applyFont="1" applyBorder="1" applyAlignment="1">
      <alignment horizontal="center" vertical="center"/>
    </xf>
    <xf numFmtId="0" fontId="56" fillId="0" borderId="66" xfId="0" applyFont="1" applyBorder="1" applyAlignment="1">
      <alignment horizontal="center" vertical="center"/>
    </xf>
    <xf numFmtId="0" fontId="56" fillId="0" borderId="7" xfId="0" applyFont="1" applyBorder="1" applyAlignment="1">
      <alignment horizontal="center"/>
    </xf>
    <xf numFmtId="0" fontId="72" fillId="0" borderId="67" xfId="0" applyFont="1" applyBorder="1" applyAlignment="1">
      <alignment horizontal="center" vertical="center" wrapText="1"/>
    </xf>
    <xf numFmtId="0" fontId="72" fillId="0" borderId="68" xfId="0" applyFont="1" applyBorder="1" applyAlignment="1">
      <alignment horizontal="center" vertical="center" wrapText="1"/>
    </xf>
    <xf numFmtId="0" fontId="72" fillId="0" borderId="69" xfId="0" applyFont="1" applyBorder="1" applyAlignment="1">
      <alignment horizontal="center" vertical="center" wrapText="1"/>
    </xf>
    <xf numFmtId="0" fontId="72" fillId="0" borderId="16" xfId="0" applyFont="1" applyBorder="1" applyAlignment="1">
      <alignment horizontal="center" vertical="center" wrapText="1"/>
    </xf>
    <xf numFmtId="0" fontId="72" fillId="0" borderId="0" xfId="0" applyFont="1" applyAlignment="1">
      <alignment horizontal="center" vertical="center" wrapText="1"/>
    </xf>
    <xf numFmtId="0" fontId="72" fillId="0" borderId="17" xfId="0" applyFont="1" applyBorder="1" applyAlignment="1">
      <alignment horizontal="center" vertical="center" wrapText="1"/>
    </xf>
    <xf numFmtId="0" fontId="72" fillId="0" borderId="18"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19" xfId="0" applyFont="1" applyBorder="1" applyAlignment="1">
      <alignment horizontal="center" vertical="center" wrapText="1"/>
    </xf>
    <xf numFmtId="0" fontId="72" fillId="0" borderId="70" xfId="0" applyFont="1" applyBorder="1" applyAlignment="1">
      <alignment horizontal="center" vertical="center"/>
    </xf>
    <xf numFmtId="0" fontId="72" fillId="0" borderId="21" xfId="0" applyFont="1" applyBorder="1" applyAlignment="1">
      <alignment horizontal="center" vertical="center"/>
    </xf>
    <xf numFmtId="0" fontId="72" fillId="0" borderId="10" xfId="0" applyFont="1" applyBorder="1" applyAlignment="1">
      <alignment horizontal="center" vertical="center"/>
    </xf>
    <xf numFmtId="0" fontId="54" fillId="0" borderId="65" xfId="0" applyFont="1" applyBorder="1" applyAlignment="1">
      <alignment horizontal="left" vertical="center"/>
    </xf>
    <xf numFmtId="0" fontId="54" fillId="0" borderId="66" xfId="0" applyFont="1" applyBorder="1" applyAlignment="1">
      <alignment horizontal="left" vertical="center"/>
    </xf>
    <xf numFmtId="0" fontId="54" fillId="0" borderId="67" xfId="0" applyFont="1" applyBorder="1" applyAlignment="1">
      <alignment horizontal="center" vertical="center" wrapText="1"/>
    </xf>
    <xf numFmtId="0" fontId="54" fillId="0" borderId="68" xfId="0" applyFont="1" applyBorder="1" applyAlignment="1">
      <alignment horizontal="center" vertical="center" wrapText="1"/>
    </xf>
    <xf numFmtId="0" fontId="54" fillId="0" borderId="69"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0" xfId="0" applyFont="1" applyAlignment="1">
      <alignment horizontal="center" vertical="center" wrapText="1"/>
    </xf>
    <xf numFmtId="0" fontId="54" fillId="0" borderId="17"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9" xfId="0" applyFont="1" applyBorder="1" applyAlignment="1">
      <alignment horizontal="center" vertical="center" wrapText="1"/>
    </xf>
    <xf numFmtId="9" fontId="90" fillId="0" borderId="65" xfId="0" applyNumberFormat="1" applyFont="1" applyBorder="1" applyAlignment="1">
      <alignment horizontal="center"/>
    </xf>
    <xf numFmtId="9" fontId="90" fillId="0" borderId="66" xfId="0" applyNumberFormat="1" applyFont="1" applyBorder="1" applyAlignment="1">
      <alignment horizontal="center"/>
    </xf>
    <xf numFmtId="0" fontId="54" fillId="0" borderId="64" xfId="0" applyFont="1" applyBorder="1" applyAlignment="1">
      <alignment horizontal="center" vertical="center" wrapText="1"/>
    </xf>
    <xf numFmtId="0" fontId="54" fillId="0" borderId="51" xfId="0" applyFont="1" applyBorder="1" applyAlignment="1">
      <alignment horizontal="left" vertical="center" wrapText="1"/>
    </xf>
    <xf numFmtId="0" fontId="54" fillId="0" borderId="7" xfId="0" applyFont="1" applyBorder="1" applyAlignment="1">
      <alignment horizontal="left" vertical="center" wrapText="1"/>
    </xf>
    <xf numFmtId="0" fontId="72" fillId="0" borderId="64" xfId="0" applyFont="1" applyBorder="1" applyAlignment="1">
      <alignment horizontal="left" vertical="center" wrapText="1"/>
    </xf>
    <xf numFmtId="0" fontId="54" fillId="0" borderId="64" xfId="0" applyFont="1" applyBorder="1" applyAlignment="1">
      <alignment horizontal="left" vertical="center"/>
    </xf>
    <xf numFmtId="0" fontId="56" fillId="0" borderId="65" xfId="0" applyFont="1" applyBorder="1" applyAlignment="1">
      <alignment horizontal="center"/>
    </xf>
    <xf numFmtId="0" fontId="56" fillId="0" borderId="71" xfId="0" applyFont="1" applyBorder="1" applyAlignment="1">
      <alignment horizontal="center"/>
    </xf>
    <xf numFmtId="0" fontId="56" fillId="0" borderId="66" xfId="0" applyFont="1" applyBorder="1" applyAlignment="1">
      <alignment horizontal="center"/>
    </xf>
    <xf numFmtId="0" fontId="72" fillId="0" borderId="64" xfId="0" applyFont="1" applyBorder="1" applyAlignment="1">
      <alignment horizontal="center" vertical="center"/>
    </xf>
    <xf numFmtId="0" fontId="72" fillId="0" borderId="67" xfId="0" applyFont="1" applyBorder="1" applyAlignment="1">
      <alignment horizontal="left" vertical="center" wrapText="1"/>
    </xf>
    <xf numFmtId="0" fontId="72" fillId="0" borderId="68" xfId="0" applyFont="1" applyBorder="1" applyAlignment="1">
      <alignment horizontal="left" vertical="center" wrapText="1"/>
    </xf>
    <xf numFmtId="0" fontId="72" fillId="0" borderId="69" xfId="0" applyFont="1" applyBorder="1" applyAlignment="1">
      <alignment horizontal="left" vertical="center" wrapText="1"/>
    </xf>
    <xf numFmtId="0" fontId="72" fillId="0" borderId="16" xfId="0" applyFont="1" applyBorder="1" applyAlignment="1">
      <alignment horizontal="left" vertical="center" wrapText="1"/>
    </xf>
    <xf numFmtId="0" fontId="72" fillId="0" borderId="0" xfId="0" applyFont="1" applyAlignment="1">
      <alignment horizontal="left" vertical="center" wrapText="1"/>
    </xf>
    <xf numFmtId="0" fontId="72" fillId="0" borderId="17" xfId="0" applyFont="1" applyBorder="1" applyAlignment="1">
      <alignment horizontal="left" vertical="center" wrapText="1"/>
    </xf>
    <xf numFmtId="0" fontId="72" fillId="0" borderId="18" xfId="0" applyFont="1" applyBorder="1" applyAlignment="1">
      <alignment horizontal="left" vertical="center" wrapText="1"/>
    </xf>
    <xf numFmtId="0" fontId="72" fillId="0" borderId="9" xfId="0" applyFont="1" applyBorder="1" applyAlignment="1">
      <alignment horizontal="left" vertical="center" wrapText="1"/>
    </xf>
    <xf numFmtId="0" fontId="72" fillId="0" borderId="19" xfId="0" applyFont="1" applyBorder="1" applyAlignment="1">
      <alignment horizontal="left" vertical="center" wrapText="1"/>
    </xf>
    <xf numFmtId="0" fontId="71" fillId="0" borderId="67" xfId="0" applyFont="1" applyBorder="1" applyAlignment="1">
      <alignment horizontal="left" vertical="center" wrapText="1"/>
    </xf>
    <xf numFmtId="0" fontId="71" fillId="0" borderId="68" xfId="0" applyFont="1" applyBorder="1" applyAlignment="1">
      <alignment horizontal="left" vertical="center" wrapText="1"/>
    </xf>
    <xf numFmtId="0" fontId="71" fillId="0" borderId="69" xfId="0" applyFont="1" applyBorder="1" applyAlignment="1">
      <alignment horizontal="left" vertical="center" wrapText="1"/>
    </xf>
    <xf numFmtId="0" fontId="71" fillId="0" borderId="16" xfId="0" applyFont="1" applyBorder="1" applyAlignment="1">
      <alignment horizontal="left" vertical="center" wrapText="1"/>
    </xf>
    <xf numFmtId="0" fontId="71" fillId="0" borderId="0" xfId="0" applyFont="1" applyAlignment="1">
      <alignment horizontal="left" vertical="center" wrapText="1"/>
    </xf>
    <xf numFmtId="0" fontId="71" fillId="0" borderId="17" xfId="0" applyFont="1" applyBorder="1" applyAlignment="1">
      <alignment horizontal="left" vertical="center" wrapText="1"/>
    </xf>
    <xf numFmtId="0" fontId="71" fillId="0" borderId="18" xfId="0" applyFont="1" applyBorder="1" applyAlignment="1">
      <alignment horizontal="left" vertical="center" wrapText="1"/>
    </xf>
    <xf numFmtId="0" fontId="71" fillId="0" borderId="9" xfId="0" applyFont="1" applyBorder="1" applyAlignment="1">
      <alignment horizontal="left" vertical="center" wrapText="1"/>
    </xf>
    <xf numFmtId="0" fontId="71" fillId="0" borderId="19" xfId="0" applyFont="1" applyBorder="1" applyAlignment="1">
      <alignment horizontal="left" vertical="center" wrapText="1"/>
    </xf>
    <xf numFmtId="0" fontId="54" fillId="0" borderId="67" xfId="0" applyFont="1" applyBorder="1" applyAlignment="1">
      <alignment horizontal="left" vertical="center"/>
    </xf>
    <xf numFmtId="0" fontId="54" fillId="0" borderId="69" xfId="0" applyFont="1" applyBorder="1" applyAlignment="1">
      <alignment horizontal="left" vertical="center"/>
    </xf>
    <xf numFmtId="0" fontId="54" fillId="0" borderId="18" xfId="0" applyFont="1" applyBorder="1" applyAlignment="1">
      <alignment horizontal="left" vertical="center"/>
    </xf>
    <xf numFmtId="0" fontId="54" fillId="0" borderId="19" xfId="0" applyFont="1" applyBorder="1" applyAlignment="1">
      <alignment horizontal="left" vertical="center"/>
    </xf>
    <xf numFmtId="0" fontId="54" fillId="0" borderId="64" xfId="0" applyFont="1" applyBorder="1" applyAlignment="1">
      <alignment horizontal="center" vertical="center"/>
      <extLst>
        <ext xmlns:xfpb="http://schemas.microsoft.com/office/spreadsheetml/2022/featurepropertybag" uri="{C7286773-470A-42A8-94C5-96B5CB345126}">
          <xfpb:xfComplement i="0"/>
        </ext>
      </extLst>
    </xf>
    <xf numFmtId="2" fontId="72" fillId="0" borderId="64" xfId="0" applyNumberFormat="1" applyFont="1" applyBorder="1" applyAlignment="1">
      <alignment horizontal="center" vertical="center"/>
    </xf>
    <xf numFmtId="0" fontId="85" fillId="61" borderId="65" xfId="0" applyFont="1" applyFill="1" applyBorder="1" applyAlignment="1">
      <alignment horizontal="center" vertical="center"/>
    </xf>
    <xf numFmtId="0" fontId="85" fillId="61" borderId="71" xfId="0" applyFont="1" applyFill="1" applyBorder="1" applyAlignment="1">
      <alignment horizontal="center" vertical="center"/>
    </xf>
    <xf numFmtId="0" fontId="85" fillId="61" borderId="66" xfId="0" applyFont="1" applyFill="1" applyBorder="1" applyAlignment="1">
      <alignment horizontal="center" vertical="center"/>
    </xf>
    <xf numFmtId="0" fontId="46" fillId="0" borderId="67" xfId="0" applyFont="1" applyBorder="1" applyAlignment="1">
      <alignment horizontal="left" vertical="center" wrapText="1"/>
    </xf>
    <xf numFmtId="0" fontId="46" fillId="0" borderId="68" xfId="0" applyFont="1" applyBorder="1" applyAlignment="1">
      <alignment horizontal="left" vertical="center" wrapText="1"/>
    </xf>
    <xf numFmtId="0" fontId="46" fillId="0" borderId="69" xfId="0" applyFont="1" applyBorder="1" applyAlignment="1">
      <alignment horizontal="left" vertical="center" wrapText="1"/>
    </xf>
    <xf numFmtId="0" fontId="46" fillId="0" borderId="16" xfId="0" applyFont="1" applyBorder="1" applyAlignment="1">
      <alignment horizontal="left" vertical="center" wrapText="1"/>
    </xf>
    <xf numFmtId="0" fontId="46" fillId="0" borderId="0" xfId="0" applyFont="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9" xfId="0" applyFont="1" applyBorder="1" applyAlignment="1">
      <alignment horizontal="left" vertical="center" wrapText="1"/>
    </xf>
    <xf numFmtId="0" fontId="46" fillId="0" borderId="19" xfId="0" applyFont="1" applyBorder="1" applyAlignment="1">
      <alignment horizontal="left" vertical="center" wrapText="1"/>
    </xf>
    <xf numFmtId="0" fontId="58" fillId="0" borderId="67"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0" xfId="0" applyFont="1" applyAlignment="1">
      <alignment horizontal="center" vertical="center" wrapText="1"/>
    </xf>
    <xf numFmtId="0" fontId="58" fillId="0" borderId="17"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9" xfId="0" applyFont="1" applyBorder="1" applyAlignment="1">
      <alignment horizontal="center"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7" fillId="0" borderId="69" xfId="0" applyFont="1" applyBorder="1" applyAlignment="1">
      <alignment horizontal="left" vertical="center" wrapText="1"/>
    </xf>
    <xf numFmtId="0" fontId="47" fillId="0" borderId="16" xfId="0" applyFont="1" applyBorder="1" applyAlignment="1">
      <alignment horizontal="left" vertical="center" wrapText="1"/>
    </xf>
    <xf numFmtId="0" fontId="47" fillId="0" borderId="0" xfId="0" applyFont="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9" xfId="0" applyFont="1" applyBorder="1" applyAlignment="1">
      <alignment horizontal="left" vertical="center" wrapText="1"/>
    </xf>
    <xf numFmtId="0" fontId="47" fillId="0" borderId="19" xfId="0" applyFont="1" applyBorder="1" applyAlignment="1">
      <alignment horizontal="left" vertical="center" wrapText="1"/>
    </xf>
    <xf numFmtId="0" fontId="85" fillId="61" borderId="69" xfId="0" applyFont="1" applyFill="1" applyBorder="1" applyAlignment="1">
      <alignment horizontal="center" vertical="center"/>
    </xf>
    <xf numFmtId="0" fontId="85" fillId="61" borderId="17" xfId="0" applyFont="1" applyFill="1" applyBorder="1" applyAlignment="1">
      <alignment horizontal="center" vertical="center"/>
    </xf>
    <xf numFmtId="0" fontId="85" fillId="61" borderId="19" xfId="0" applyFont="1" applyFill="1" applyBorder="1" applyAlignment="1">
      <alignment horizontal="center" vertical="center"/>
    </xf>
    <xf numFmtId="0" fontId="47" fillId="0" borderId="67"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0" xfId="0" applyFont="1" applyAlignment="1">
      <alignment horizontal="center" vertical="center" wrapText="1"/>
    </xf>
    <xf numFmtId="0" fontId="47" fillId="0" borderId="17"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9" xfId="0" applyFont="1" applyBorder="1" applyAlignment="1">
      <alignment horizontal="center" vertical="center" wrapText="1"/>
    </xf>
    <xf numFmtId="0" fontId="67" fillId="0" borderId="64" xfId="0" applyFont="1" applyBorder="1" applyAlignment="1">
      <alignment horizontal="center" vertical="center"/>
    </xf>
    <xf numFmtId="0" fontId="67" fillId="0" borderId="64" xfId="0" applyFont="1" applyBorder="1" applyAlignment="1">
      <alignment horizontal="left" vertical="center" wrapText="1"/>
    </xf>
    <xf numFmtId="0" fontId="54" fillId="0" borderId="71" xfId="0" applyFont="1" applyBorder="1" applyAlignment="1">
      <alignment horizontal="left" vertical="center"/>
    </xf>
    <xf numFmtId="0" fontId="67" fillId="0" borderId="70" xfId="0" applyFont="1" applyBorder="1" applyAlignment="1">
      <alignment horizontal="center" vertical="center" wrapText="1"/>
    </xf>
    <xf numFmtId="0" fontId="67" fillId="0" borderId="10" xfId="0" applyFont="1" applyBorder="1" applyAlignment="1">
      <alignment horizontal="center" vertical="center" wrapText="1"/>
    </xf>
    <xf numFmtId="0" fontId="53" fillId="0" borderId="64" xfId="0" applyFont="1" applyBorder="1" applyAlignment="1">
      <alignment horizontal="left" vertical="center"/>
    </xf>
    <xf numFmtId="0" fontId="47" fillId="0" borderId="67" xfId="0" applyFont="1" applyBorder="1" applyAlignment="1">
      <alignment horizontal="center"/>
    </xf>
    <xf numFmtId="0" fontId="47" fillId="0" borderId="68" xfId="0" applyFont="1" applyBorder="1" applyAlignment="1">
      <alignment horizontal="center"/>
    </xf>
    <xf numFmtId="0" fontId="47" fillId="0" borderId="69" xfId="0" applyFont="1" applyBorder="1" applyAlignment="1">
      <alignment horizontal="center"/>
    </xf>
    <xf numFmtId="0" fontId="47" fillId="0" borderId="16" xfId="0" applyFont="1" applyBorder="1" applyAlignment="1">
      <alignment horizontal="center"/>
    </xf>
    <xf numFmtId="0" fontId="47" fillId="0" borderId="0" xfId="0" applyFont="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47" fillId="0" borderId="9" xfId="0" applyFont="1" applyBorder="1" applyAlignment="1">
      <alignment horizontal="center"/>
    </xf>
    <xf numFmtId="0" fontId="47" fillId="0" borderId="19" xfId="0" applyFont="1" applyBorder="1" applyAlignment="1">
      <alignment horizontal="center"/>
    </xf>
    <xf numFmtId="0" fontId="46" fillId="0" borderId="67" xfId="0" applyFont="1" applyBorder="1" applyAlignment="1">
      <alignment horizontal="center"/>
    </xf>
    <xf numFmtId="0" fontId="46" fillId="0" borderId="68" xfId="0" applyFont="1" applyBorder="1" applyAlignment="1">
      <alignment horizontal="center"/>
    </xf>
    <xf numFmtId="0" fontId="46" fillId="0" borderId="69" xfId="0" applyFont="1" applyBorder="1" applyAlignment="1">
      <alignment horizontal="center"/>
    </xf>
    <xf numFmtId="0" fontId="46" fillId="0" borderId="16" xfId="0" applyFont="1" applyBorder="1" applyAlignment="1">
      <alignment horizontal="center"/>
    </xf>
    <xf numFmtId="0" fontId="46" fillId="0" borderId="0" xfId="0" applyFont="1" applyAlignment="1">
      <alignment horizontal="center"/>
    </xf>
    <xf numFmtId="0" fontId="46" fillId="0" borderId="17" xfId="0" applyFont="1" applyBorder="1" applyAlignment="1">
      <alignment horizontal="center"/>
    </xf>
    <xf numFmtId="0" fontId="46" fillId="0" borderId="18" xfId="0" applyFont="1" applyBorder="1" applyAlignment="1">
      <alignment horizontal="center"/>
    </xf>
    <xf numFmtId="0" fontId="46" fillId="0" borderId="9" xfId="0" applyFont="1" applyBorder="1" applyAlignment="1">
      <alignment horizontal="center"/>
    </xf>
    <xf numFmtId="0" fontId="46" fillId="0" borderId="19" xfId="0" applyFont="1" applyBorder="1" applyAlignment="1">
      <alignment horizontal="center"/>
    </xf>
    <xf numFmtId="0" fontId="77" fillId="0" borderId="67" xfId="0" applyFont="1" applyBorder="1" applyAlignment="1">
      <alignment horizontal="center" vertical="center" wrapText="1"/>
    </xf>
    <xf numFmtId="0" fontId="77" fillId="0" borderId="68" xfId="0" applyFont="1" applyBorder="1" applyAlignment="1">
      <alignment horizontal="center" vertical="center" wrapText="1"/>
    </xf>
    <xf numFmtId="0" fontId="77" fillId="0" borderId="69"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0" xfId="0" applyFont="1" applyAlignment="1">
      <alignment horizontal="center" vertical="center" wrapText="1"/>
    </xf>
    <xf numFmtId="0" fontId="77" fillId="0" borderId="17" xfId="0" applyFont="1" applyBorder="1" applyAlignment="1">
      <alignment horizontal="center" vertical="center" wrapText="1"/>
    </xf>
    <xf numFmtId="0" fontId="77" fillId="0" borderId="18"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19" xfId="0" applyFont="1" applyBorder="1" applyAlignment="1">
      <alignment horizontal="center" vertical="center" wrapText="1"/>
    </xf>
    <xf numFmtId="0" fontId="54" fillId="0" borderId="9" xfId="0" applyFont="1" applyBorder="1" applyAlignment="1">
      <alignment horizontal="left" vertical="center"/>
    </xf>
    <xf numFmtId="0" fontId="67" fillId="0" borderId="21" xfId="0" applyFont="1" applyBorder="1" applyAlignment="1">
      <alignment horizontal="center" vertical="center" wrapText="1"/>
    </xf>
    <xf numFmtId="9" fontId="94" fillId="4" borderId="96" xfId="591" applyFont="1" applyFill="1" applyBorder="1" applyAlignment="1">
      <alignment horizontal="center" vertical="center"/>
    </xf>
    <xf numFmtId="9" fontId="94" fillId="4" borderId="95" xfId="591" applyFont="1" applyFill="1" applyBorder="1" applyAlignment="1">
      <alignment horizontal="center" vertical="center"/>
    </xf>
    <xf numFmtId="0" fontId="54" fillId="0" borderId="101" xfId="0" applyFont="1" applyBorder="1" applyAlignment="1">
      <alignment horizontal="left" vertical="center"/>
    </xf>
    <xf numFmtId="0" fontId="54" fillId="0" borderId="102" xfId="0" applyFont="1" applyBorder="1" applyAlignment="1">
      <alignment horizontal="left" vertical="center"/>
    </xf>
    <xf numFmtId="0" fontId="54" fillId="0" borderId="103" xfId="0" applyFont="1" applyBorder="1" applyAlignment="1">
      <alignment horizontal="left" vertic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9" xfId="0" applyBorder="1" applyAlignment="1">
      <alignment horizontal="center"/>
    </xf>
    <xf numFmtId="0" fontId="0" fillId="0" borderId="19" xfId="0" applyBorder="1" applyAlignment="1">
      <alignment horizontal="center"/>
    </xf>
    <xf numFmtId="0" fontId="85" fillId="61" borderId="0" xfId="0" applyFont="1"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8" fillId="0" borderId="65" xfId="0" applyFont="1" applyBorder="1" applyAlignment="1">
      <alignment horizontal="left" vertical="center" wrapText="1"/>
    </xf>
    <xf numFmtId="0" fontId="58" fillId="0" borderId="71" xfId="0" applyFont="1" applyBorder="1" applyAlignment="1">
      <alignment horizontal="left" vertical="center" wrapText="1"/>
    </xf>
    <xf numFmtId="0" fontId="58" fillId="0" borderId="66" xfId="0" applyFont="1" applyBorder="1" applyAlignment="1">
      <alignment horizontal="left" vertical="center" wrapText="1"/>
    </xf>
    <xf numFmtId="0" fontId="77" fillId="0" borderId="67" xfId="0" applyFont="1" applyBorder="1" applyAlignment="1">
      <alignment horizontal="left" vertical="center" wrapText="1"/>
    </xf>
    <xf numFmtId="0" fontId="77" fillId="0" borderId="68" xfId="0" applyFont="1" applyBorder="1" applyAlignment="1">
      <alignment horizontal="left" vertical="center" wrapText="1"/>
    </xf>
    <xf numFmtId="0" fontId="77" fillId="0" borderId="69" xfId="0" applyFont="1" applyBorder="1" applyAlignment="1">
      <alignment horizontal="left" vertical="center" wrapText="1"/>
    </xf>
    <xf numFmtId="0" fontId="77" fillId="0" borderId="16" xfId="0" applyFont="1" applyBorder="1" applyAlignment="1">
      <alignment horizontal="left" vertical="center" wrapText="1"/>
    </xf>
    <xf numFmtId="0" fontId="77" fillId="0" borderId="0" xfId="0" applyFont="1" applyAlignment="1">
      <alignment horizontal="left" vertical="center" wrapText="1"/>
    </xf>
    <xf numFmtId="0" fontId="77" fillId="0" borderId="17" xfId="0" applyFont="1" applyBorder="1" applyAlignment="1">
      <alignment horizontal="left" vertical="center" wrapText="1"/>
    </xf>
    <xf numFmtId="0" fontId="77" fillId="0" borderId="18" xfId="0" applyFont="1" applyBorder="1" applyAlignment="1">
      <alignment horizontal="left" vertical="center" wrapText="1"/>
    </xf>
    <xf numFmtId="0" fontId="77" fillId="0" borderId="9" xfId="0" applyFont="1" applyBorder="1" applyAlignment="1">
      <alignment horizontal="left" vertical="center" wrapText="1"/>
    </xf>
    <xf numFmtId="0" fontId="77" fillId="0" borderId="19" xfId="0" applyFont="1" applyBorder="1" applyAlignment="1">
      <alignment horizontal="left" vertical="center" wrapText="1"/>
    </xf>
    <xf numFmtId="0" fontId="47" fillId="0" borderId="64" xfId="0" applyFont="1" applyBorder="1" applyAlignment="1">
      <alignment horizontal="left" vertical="center" wrapText="1"/>
    </xf>
    <xf numFmtId="1" fontId="85" fillId="61" borderId="70" xfId="0" applyNumberFormat="1" applyFont="1" applyFill="1" applyBorder="1" applyAlignment="1">
      <alignment horizontal="center" vertical="center"/>
    </xf>
    <xf numFmtId="1" fontId="85" fillId="61" borderId="21" xfId="0" applyNumberFormat="1" applyFont="1" applyFill="1" applyBorder="1" applyAlignment="1">
      <alignment horizontal="center" vertical="center"/>
    </xf>
    <xf numFmtId="1" fontId="85" fillId="61" borderId="10" xfId="0" applyNumberFormat="1" applyFont="1" applyFill="1" applyBorder="1" applyAlignment="1">
      <alignment horizontal="center" vertic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69"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9" xfId="0" applyFont="1" applyBorder="1" applyAlignment="1">
      <alignment horizontal="center"/>
    </xf>
    <xf numFmtId="0" fontId="2" fillId="0" borderId="19" xfId="0" applyFont="1" applyBorder="1" applyAlignment="1">
      <alignment horizontal="center"/>
    </xf>
    <xf numFmtId="0" fontId="64" fillId="0" borderId="65" xfId="0" applyFont="1" applyBorder="1" applyAlignment="1">
      <alignment horizontal="center" vertical="center"/>
    </xf>
    <xf numFmtId="0" fontId="64" fillId="0" borderId="71" xfId="0" applyFont="1" applyBorder="1" applyAlignment="1">
      <alignment horizontal="center" vertical="center"/>
    </xf>
    <xf numFmtId="0" fontId="64" fillId="0" borderId="66" xfId="0" applyFont="1" applyBorder="1" applyAlignment="1">
      <alignment horizontal="center" vertical="center"/>
    </xf>
    <xf numFmtId="0" fontId="54" fillId="0" borderId="68" xfId="0" applyFont="1" applyBorder="1" applyAlignment="1">
      <alignment horizontal="center"/>
    </xf>
    <xf numFmtId="0" fontId="58" fillId="0" borderId="11" xfId="0" applyFont="1" applyBorder="1" applyAlignment="1">
      <alignment horizontal="left" vertical="center" wrapText="1"/>
    </xf>
    <xf numFmtId="0" fontId="58" fillId="0" borderId="22" xfId="0" applyFont="1" applyBorder="1" applyAlignment="1">
      <alignment horizontal="left" vertical="center" wrapText="1"/>
    </xf>
    <xf numFmtId="0" fontId="54" fillId="0" borderId="84" xfId="0" applyFont="1" applyBorder="1" applyAlignment="1">
      <alignment horizontal="center"/>
    </xf>
    <xf numFmtId="0" fontId="54" fillId="0" borderId="85" xfId="0" applyFont="1" applyBorder="1" applyAlignment="1">
      <alignment horizontal="center"/>
    </xf>
    <xf numFmtId="0" fontId="54" fillId="0" borderId="86" xfId="0" applyFont="1" applyBorder="1" applyAlignment="1">
      <alignment horizontal="center"/>
    </xf>
    <xf numFmtId="0" fontId="54" fillId="0" borderId="87" xfId="0" applyFont="1" applyBorder="1" applyAlignment="1">
      <alignment horizontal="center"/>
    </xf>
    <xf numFmtId="0" fontId="54" fillId="0" borderId="0" xfId="0" applyFont="1" applyAlignment="1">
      <alignment horizontal="center"/>
    </xf>
    <xf numFmtId="0" fontId="54" fillId="0" borderId="88" xfId="0" applyFont="1" applyBorder="1" applyAlignment="1">
      <alignment horizontal="center"/>
    </xf>
    <xf numFmtId="0" fontId="54" fillId="0" borderId="89" xfId="0" applyFont="1" applyBorder="1" applyAlignment="1">
      <alignment horizontal="center"/>
    </xf>
    <xf numFmtId="0" fontId="54" fillId="0" borderId="90" xfId="0" applyFont="1" applyBorder="1" applyAlignment="1">
      <alignment horizontal="center"/>
    </xf>
    <xf numFmtId="0" fontId="54" fillId="0" borderId="91" xfId="0" applyFont="1" applyBorder="1" applyAlignment="1">
      <alignment horizont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22" xfId="0" applyFont="1" applyBorder="1" applyAlignment="1">
      <alignment horizontal="center" vertical="center"/>
    </xf>
    <xf numFmtId="0" fontId="56" fillId="0" borderId="11" xfId="0" applyFont="1" applyBorder="1" applyAlignment="1">
      <alignment horizontal="center"/>
    </xf>
    <xf numFmtId="0" fontId="56" fillId="0" borderId="12" xfId="0" applyFont="1" applyBorder="1" applyAlignment="1">
      <alignment horizontal="center"/>
    </xf>
    <xf numFmtId="0" fontId="56" fillId="0" borderId="22" xfId="0" applyFont="1" applyBorder="1" applyAlignment="1">
      <alignment horizontal="center"/>
    </xf>
    <xf numFmtId="0" fontId="58" fillId="0" borderId="7" xfId="0" applyFont="1" applyBorder="1" applyAlignment="1">
      <alignment horizontal="center" vertical="center" wrapText="1"/>
    </xf>
    <xf numFmtId="0" fontId="54" fillId="0" borderId="70" xfId="0" applyFont="1" applyBorder="1" applyAlignment="1">
      <alignment horizontal="center" vertical="center"/>
      <extLst>
        <ext xmlns:xfpb="http://schemas.microsoft.com/office/spreadsheetml/2022/featurepropertybag" uri="{C7286773-470A-42A8-94C5-96B5CB345126}">
          <xfpb:xfComplement i="0"/>
        </ext>
      </extLst>
    </xf>
    <xf numFmtId="0" fontId="54"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58" fillId="0" borderId="84" xfId="0" applyFont="1" applyBorder="1" applyAlignment="1">
      <alignment horizontal="center"/>
    </xf>
    <xf numFmtId="0" fontId="58" fillId="0" borderId="85" xfId="0" applyFont="1" applyBorder="1" applyAlignment="1">
      <alignment horizontal="center"/>
    </xf>
    <xf numFmtId="0" fontId="58" fillId="0" borderId="86" xfId="0" applyFont="1" applyBorder="1" applyAlignment="1">
      <alignment horizontal="center"/>
    </xf>
    <xf numFmtId="0" fontId="58" fillId="0" borderId="87" xfId="0" applyFont="1" applyBorder="1" applyAlignment="1">
      <alignment horizontal="center"/>
    </xf>
    <xf numFmtId="0" fontId="58" fillId="0" borderId="0" xfId="0" applyFont="1" applyAlignment="1">
      <alignment horizontal="center"/>
    </xf>
    <xf numFmtId="0" fontId="58" fillId="0" borderId="88" xfId="0" applyFont="1" applyBorder="1" applyAlignment="1">
      <alignment horizontal="center"/>
    </xf>
    <xf numFmtId="0" fontId="58" fillId="0" borderId="89" xfId="0" applyFont="1" applyBorder="1" applyAlignment="1">
      <alignment horizontal="center"/>
    </xf>
    <xf numFmtId="0" fontId="58" fillId="0" borderId="90" xfId="0" applyFont="1" applyBorder="1" applyAlignment="1">
      <alignment horizontal="center"/>
    </xf>
    <xf numFmtId="0" fontId="58" fillId="0" borderId="91" xfId="0" applyFont="1" applyBorder="1" applyAlignment="1">
      <alignment horizontal="center"/>
    </xf>
    <xf numFmtId="0" fontId="81" fillId="36" borderId="0" xfId="0" applyFont="1" applyFill="1" applyAlignment="1" applyProtection="1">
      <alignment horizontal="center" vertical="center" wrapText="1"/>
      <protection hidden="1"/>
    </xf>
    <xf numFmtId="0" fontId="81" fillId="36" borderId="104" xfId="0" applyFont="1" applyFill="1" applyBorder="1" applyAlignment="1" applyProtection="1">
      <alignment horizontal="center" vertical="center" wrapText="1"/>
      <protection hidden="1"/>
    </xf>
    <xf numFmtId="0" fontId="54" fillId="4" borderId="16" xfId="0" applyFont="1" applyFill="1" applyBorder="1" applyAlignment="1">
      <alignment horizontal="left" vertical="center" wrapText="1"/>
    </xf>
    <xf numFmtId="0" fontId="54" fillId="4" borderId="0" xfId="0" applyFont="1" applyFill="1" applyAlignment="1">
      <alignment horizontal="left" vertical="center" wrapText="1"/>
    </xf>
    <xf numFmtId="0" fontId="54" fillId="4" borderId="17" xfId="0" applyFont="1" applyFill="1" applyBorder="1" applyAlignment="1">
      <alignment horizontal="left" vertical="center" wrapText="1"/>
    </xf>
    <xf numFmtId="0" fontId="54" fillId="4" borderId="18" xfId="0" applyFont="1" applyFill="1" applyBorder="1" applyAlignment="1">
      <alignment horizontal="left" vertical="center" wrapText="1"/>
    </xf>
    <xf numFmtId="0" fontId="54" fillId="4" borderId="9" xfId="0" applyFont="1" applyFill="1" applyBorder="1" applyAlignment="1">
      <alignment horizontal="left" vertical="center" wrapText="1"/>
    </xf>
    <xf numFmtId="0" fontId="54" fillId="4" borderId="19" xfId="0" applyFont="1" applyFill="1" applyBorder="1" applyAlignment="1">
      <alignment horizontal="left" vertical="center" wrapText="1"/>
    </xf>
    <xf numFmtId="0" fontId="54" fillId="65" borderId="16" xfId="0" applyFont="1" applyFill="1" applyBorder="1" applyAlignment="1">
      <alignment horizontal="left" vertical="center" wrapText="1"/>
    </xf>
    <xf numFmtId="0" fontId="54" fillId="65" borderId="0" xfId="0" applyFont="1" applyFill="1" applyAlignment="1">
      <alignment horizontal="left" vertical="center" wrapText="1"/>
    </xf>
    <xf numFmtId="0" fontId="54" fillId="65" borderId="17" xfId="0" applyFont="1" applyFill="1" applyBorder="1" applyAlignment="1">
      <alignment horizontal="left" vertical="center" wrapText="1"/>
    </xf>
    <xf numFmtId="0" fontId="54" fillId="65" borderId="18" xfId="0" applyFont="1" applyFill="1" applyBorder="1" applyAlignment="1">
      <alignment horizontal="left" vertical="center" wrapText="1"/>
    </xf>
    <xf numFmtId="0" fontId="54" fillId="65" borderId="9" xfId="0" applyFont="1" applyFill="1" applyBorder="1" applyAlignment="1">
      <alignment horizontal="left" vertical="center" wrapText="1"/>
    </xf>
    <xf numFmtId="0" fontId="54" fillId="65" borderId="19" xfId="0" applyFont="1" applyFill="1" applyBorder="1" applyAlignment="1">
      <alignment horizontal="left" vertical="center" wrapText="1"/>
    </xf>
    <xf numFmtId="0" fontId="53" fillId="4" borderId="65" xfId="0" applyFont="1" applyFill="1" applyBorder="1" applyAlignment="1">
      <alignment horizontal="center"/>
    </xf>
    <xf numFmtId="0" fontId="53" fillId="4" borderId="71" xfId="0" applyFont="1" applyFill="1" applyBorder="1" applyAlignment="1">
      <alignment horizontal="center"/>
    </xf>
    <xf numFmtId="0" fontId="53" fillId="4" borderId="66" xfId="0" applyFont="1" applyFill="1" applyBorder="1" applyAlignment="1">
      <alignment horizontal="center"/>
    </xf>
    <xf numFmtId="0" fontId="53" fillId="65" borderId="65" xfId="0" applyFont="1" applyFill="1" applyBorder="1" applyAlignment="1">
      <alignment horizontal="center"/>
    </xf>
    <xf numFmtId="0" fontId="53" fillId="65" borderId="71" xfId="0" applyFont="1" applyFill="1" applyBorder="1" applyAlignment="1">
      <alignment horizontal="center"/>
    </xf>
    <xf numFmtId="0" fontId="53" fillId="65" borderId="66" xfId="0" applyFont="1" applyFill="1" applyBorder="1" applyAlignment="1">
      <alignment horizontal="center"/>
    </xf>
    <xf numFmtId="0" fontId="100" fillId="0" borderId="65" xfId="0" applyFont="1" applyBorder="1" applyAlignment="1">
      <alignment horizontal="center" vertical="center"/>
    </xf>
    <xf numFmtId="0" fontId="100" fillId="0" borderId="71" xfId="0" applyFont="1" applyBorder="1" applyAlignment="1">
      <alignment horizontal="center" vertical="center"/>
    </xf>
    <xf numFmtId="0" fontId="100" fillId="0" borderId="66" xfId="0" applyFont="1" applyBorder="1" applyAlignment="1">
      <alignment horizontal="center" vertical="center"/>
    </xf>
    <xf numFmtId="2" fontId="100" fillId="0" borderId="65" xfId="0" applyNumberFormat="1" applyFont="1" applyBorder="1" applyAlignment="1">
      <alignment horizontal="center"/>
    </xf>
    <xf numFmtId="0" fontId="100" fillId="0" borderId="66" xfId="0" applyFont="1" applyBorder="1" applyAlignment="1">
      <alignment horizontal="center"/>
    </xf>
    <xf numFmtId="0" fontId="53" fillId="65" borderId="68" xfId="0" applyFont="1" applyFill="1" applyBorder="1" applyAlignment="1">
      <alignment horizontal="center"/>
    </xf>
    <xf numFmtId="0" fontId="53" fillId="65" borderId="69" xfId="0" applyFont="1" applyFill="1" applyBorder="1" applyAlignment="1">
      <alignment horizontal="center"/>
    </xf>
    <xf numFmtId="0" fontId="53" fillId="0" borderId="70" xfId="0" applyFont="1" applyBorder="1" applyAlignment="1">
      <alignment horizontal="center" vertical="center"/>
    </xf>
    <xf numFmtId="0" fontId="53" fillId="0" borderId="10" xfId="0" applyFont="1" applyBorder="1" applyAlignment="1">
      <alignment horizontal="center" vertical="center"/>
    </xf>
    <xf numFmtId="0" fontId="54" fillId="0" borderId="0" xfId="0" applyFont="1" applyAlignment="1">
      <alignment horizontal="center" vertical="center"/>
    </xf>
    <xf numFmtId="0" fontId="100" fillId="0" borderId="65" xfId="0" applyFont="1" applyBorder="1" applyAlignment="1">
      <alignment horizontal="center"/>
    </xf>
    <xf numFmtId="0" fontId="74" fillId="0" borderId="67" xfId="0" applyFont="1" applyBorder="1" applyAlignment="1">
      <alignment horizontal="left" vertical="center" wrapText="1"/>
    </xf>
    <xf numFmtId="0" fontId="74" fillId="0" borderId="68" xfId="0" applyFont="1" applyBorder="1" applyAlignment="1">
      <alignment horizontal="left" vertical="center" wrapText="1"/>
    </xf>
    <xf numFmtId="0" fontId="74" fillId="0" borderId="69" xfId="0" applyFont="1" applyBorder="1" applyAlignment="1">
      <alignment horizontal="left" vertical="center" wrapText="1"/>
    </xf>
    <xf numFmtId="0" fontId="74" fillId="0" borderId="16" xfId="0" applyFont="1" applyBorder="1" applyAlignment="1">
      <alignment horizontal="left" vertical="center" wrapText="1"/>
    </xf>
    <xf numFmtId="0" fontId="74" fillId="0" borderId="0" xfId="0" applyFont="1" applyAlignment="1">
      <alignment horizontal="left" vertical="center" wrapText="1"/>
    </xf>
    <xf numFmtId="0" fontId="74" fillId="0" borderId="17" xfId="0" applyFont="1" applyBorder="1" applyAlignment="1">
      <alignment horizontal="left" vertical="center" wrapText="1"/>
    </xf>
    <xf numFmtId="0" fontId="74" fillId="0" borderId="18" xfId="0" applyFont="1" applyBorder="1" applyAlignment="1">
      <alignment horizontal="left" vertical="center" wrapText="1"/>
    </xf>
    <xf numFmtId="0" fontId="74" fillId="0" borderId="9" xfId="0" applyFont="1" applyBorder="1" applyAlignment="1">
      <alignment horizontal="left" vertical="center" wrapText="1"/>
    </xf>
    <xf numFmtId="0" fontId="74" fillId="0" borderId="19" xfId="0" applyFont="1" applyBorder="1" applyAlignment="1">
      <alignment horizontal="left" vertical="center" wrapText="1"/>
    </xf>
    <xf numFmtId="0" fontId="53" fillId="0" borderId="0" xfId="0" applyFont="1" applyAlignment="1">
      <alignment horizontal="center" vertical="center"/>
    </xf>
    <xf numFmtId="0" fontId="53" fillId="4" borderId="67" xfId="0" applyFont="1" applyFill="1" applyBorder="1" applyAlignment="1">
      <alignment horizontal="center"/>
    </xf>
    <xf numFmtId="0" fontId="53" fillId="4" borderId="68" xfId="0" applyFont="1" applyFill="1" applyBorder="1" applyAlignment="1">
      <alignment horizontal="center"/>
    </xf>
    <xf numFmtId="0" fontId="53" fillId="4" borderId="69" xfId="0" applyFont="1" applyFill="1" applyBorder="1" applyAlignment="1">
      <alignment horizontal="center"/>
    </xf>
    <xf numFmtId="0" fontId="54" fillId="4" borderId="18" xfId="0" applyFont="1" applyFill="1" applyBorder="1" applyAlignment="1">
      <alignment horizontal="center" vertical="top"/>
    </xf>
    <xf numFmtId="0" fontId="54" fillId="4" borderId="9" xfId="0" applyFont="1" applyFill="1" applyBorder="1" applyAlignment="1">
      <alignment horizontal="center" vertical="top"/>
    </xf>
    <xf numFmtId="0" fontId="54" fillId="4" borderId="19" xfId="0" applyFont="1" applyFill="1" applyBorder="1" applyAlignment="1">
      <alignment horizontal="center" vertical="top"/>
    </xf>
    <xf numFmtId="0" fontId="54" fillId="65" borderId="9" xfId="0" applyFont="1" applyFill="1" applyBorder="1" applyAlignment="1">
      <alignment horizontal="center" vertical="top"/>
    </xf>
    <xf numFmtId="0" fontId="54" fillId="65" borderId="19" xfId="0" applyFont="1" applyFill="1" applyBorder="1" applyAlignment="1">
      <alignment horizontal="center" vertical="top"/>
    </xf>
    <xf numFmtId="0" fontId="54" fillId="65" borderId="65" xfId="0" applyFont="1" applyFill="1" applyBorder="1" applyAlignment="1">
      <alignment horizontal="left" vertical="center" wrapText="1"/>
    </xf>
    <xf numFmtId="0" fontId="54" fillId="65" borderId="71" xfId="0" applyFont="1" applyFill="1" applyBorder="1" applyAlignment="1">
      <alignment horizontal="left" vertical="center" wrapText="1"/>
    </xf>
    <xf numFmtId="0" fontId="54" fillId="65" borderId="66" xfId="0" applyFont="1" applyFill="1" applyBorder="1" applyAlignment="1">
      <alignment horizontal="left" vertical="center" wrapText="1"/>
    </xf>
    <xf numFmtId="0" fontId="54" fillId="4" borderId="65" xfId="0" applyFont="1" applyFill="1" applyBorder="1" applyAlignment="1">
      <alignment horizontal="left" vertical="center" wrapText="1"/>
    </xf>
    <xf numFmtId="0" fontId="54" fillId="4" borderId="71" xfId="0" applyFont="1" applyFill="1" applyBorder="1" applyAlignment="1">
      <alignment horizontal="left" vertical="center" wrapText="1"/>
    </xf>
    <xf numFmtId="0" fontId="54" fillId="4" borderId="66" xfId="0" applyFont="1" applyFill="1" applyBorder="1" applyAlignment="1">
      <alignment horizontal="left" vertical="center" wrapText="1"/>
    </xf>
    <xf numFmtId="0" fontId="54" fillId="4" borderId="64" xfId="0" applyFont="1" applyFill="1" applyBorder="1" applyAlignment="1">
      <alignment horizontal="left" vertical="center" wrapText="1"/>
    </xf>
    <xf numFmtId="0" fontId="54" fillId="65" borderId="64" xfId="0" applyFont="1" applyFill="1" applyBorder="1" applyAlignment="1">
      <alignment horizontal="left" vertical="center" wrapText="1"/>
    </xf>
    <xf numFmtId="0" fontId="72" fillId="0" borderId="110" xfId="0" applyFont="1" applyBorder="1" applyAlignment="1">
      <alignment horizontal="left" vertical="center" wrapText="1"/>
    </xf>
    <xf numFmtId="0" fontId="121" fillId="36" borderId="128" xfId="0" applyFont="1" applyFill="1" applyBorder="1" applyAlignment="1" applyProtection="1">
      <alignment horizontal="center" vertical="center"/>
      <protection hidden="1"/>
    </xf>
    <xf numFmtId="0" fontId="121" fillId="36" borderId="0" xfId="0" applyFont="1" applyFill="1" applyAlignment="1" applyProtection="1">
      <alignment horizontal="center" vertical="center"/>
      <protection hidden="1"/>
    </xf>
    <xf numFmtId="0" fontId="99" fillId="0" borderId="72" xfId="0" applyFont="1" applyBorder="1" applyAlignment="1">
      <alignment horizontal="center" vertical="center" wrapText="1"/>
    </xf>
    <xf numFmtId="0" fontId="99" fillId="0" borderId="73" xfId="0" applyFont="1" applyBorder="1" applyAlignment="1">
      <alignment horizontal="center" vertical="center" wrapText="1"/>
    </xf>
    <xf numFmtId="0" fontId="99" fillId="0" borderId="125" xfId="0" applyFont="1" applyBorder="1" applyAlignment="1">
      <alignment horizontal="center" vertical="center" wrapText="1"/>
    </xf>
    <xf numFmtId="0" fontId="110" fillId="69" borderId="72" xfId="0" applyFont="1" applyFill="1" applyBorder="1" applyAlignment="1">
      <alignment horizontal="center" vertical="center"/>
    </xf>
    <xf numFmtId="0" fontId="110" fillId="69" borderId="73" xfId="0" applyFont="1" applyFill="1" applyBorder="1" applyAlignment="1">
      <alignment horizontal="center" vertical="center"/>
    </xf>
    <xf numFmtId="0" fontId="110" fillId="69" borderId="125" xfId="0" applyFont="1" applyFill="1" applyBorder="1" applyAlignment="1">
      <alignment horizontal="center" vertical="center"/>
    </xf>
    <xf numFmtId="0" fontId="110" fillId="67" borderId="72" xfId="0" applyFont="1" applyFill="1" applyBorder="1" applyAlignment="1">
      <alignment horizontal="center" vertical="center"/>
    </xf>
    <xf numFmtId="0" fontId="110" fillId="67" borderId="73" xfId="0" applyFont="1" applyFill="1" applyBorder="1" applyAlignment="1">
      <alignment horizontal="center" vertical="center"/>
    </xf>
    <xf numFmtId="0" fontId="110" fillId="67" borderId="125" xfId="0" applyFont="1" applyFill="1" applyBorder="1" applyAlignment="1">
      <alignment horizontal="center" vertical="center"/>
    </xf>
    <xf numFmtId="0" fontId="72" fillId="0" borderId="13" xfId="0" applyFont="1" applyBorder="1" applyAlignment="1">
      <alignment horizontal="left" vertical="center" wrapText="1"/>
    </xf>
    <xf numFmtId="0" fontId="72" fillId="0" borderId="108" xfId="0" applyFont="1" applyBorder="1" applyAlignment="1">
      <alignment horizontal="left" vertical="center" wrapText="1"/>
    </xf>
    <xf numFmtId="0" fontId="72" fillId="0" borderId="111" xfId="0" applyFont="1" applyBorder="1" applyAlignment="1">
      <alignment horizontal="left" vertical="center" wrapText="1"/>
    </xf>
    <xf numFmtId="0" fontId="72" fillId="0" borderId="105" xfId="0" applyFont="1" applyBorder="1" applyAlignment="1">
      <alignment horizontal="left" vertical="center" wrapText="1"/>
    </xf>
    <xf numFmtId="0" fontId="72" fillId="0" borderId="112" xfId="0" applyFont="1" applyBorder="1" applyAlignment="1">
      <alignment horizontal="left" vertical="center" wrapText="1"/>
    </xf>
    <xf numFmtId="0" fontId="72" fillId="0" borderId="4" xfId="0" applyFont="1" applyBorder="1" applyAlignment="1">
      <alignment horizontal="left" vertical="center" wrapText="1"/>
    </xf>
    <xf numFmtId="0" fontId="72" fillId="0" borderId="110" xfId="0" applyFont="1" applyBorder="1" applyAlignment="1">
      <alignment horizontal="center" vertical="center" wrapText="1"/>
    </xf>
    <xf numFmtId="0" fontId="72" fillId="0" borderId="111" xfId="0" applyFont="1" applyBorder="1" applyAlignment="1">
      <alignment horizontal="center" vertical="center" wrapText="1"/>
    </xf>
    <xf numFmtId="0" fontId="110" fillId="65" borderId="72" xfId="0" applyFont="1" applyFill="1" applyBorder="1" applyAlignment="1">
      <alignment horizontal="center" vertical="center"/>
    </xf>
    <xf numFmtId="0" fontId="110" fillId="65" borderId="73" xfId="0" applyFont="1" applyFill="1" applyBorder="1" applyAlignment="1">
      <alignment horizontal="center" vertical="center"/>
    </xf>
    <xf numFmtId="0" fontId="110" fillId="65" borderId="125" xfId="0" applyFont="1" applyFill="1" applyBorder="1" applyAlignment="1">
      <alignment horizontal="center" vertical="center"/>
    </xf>
    <xf numFmtId="0" fontId="110" fillId="68" borderId="72" xfId="0" applyFont="1" applyFill="1" applyBorder="1" applyAlignment="1">
      <alignment horizontal="center" vertical="center"/>
    </xf>
    <xf numFmtId="0" fontId="110" fillId="68" borderId="73" xfId="0" applyFont="1" applyFill="1" applyBorder="1" applyAlignment="1">
      <alignment horizontal="center" vertical="center"/>
    </xf>
    <xf numFmtId="0" fontId="110" fillId="68" borderId="125" xfId="0" applyFont="1" applyFill="1" applyBorder="1" applyAlignment="1">
      <alignment horizontal="center" vertical="center"/>
    </xf>
    <xf numFmtId="0" fontId="110" fillId="71" borderId="72" xfId="0" applyFont="1" applyFill="1" applyBorder="1" applyAlignment="1">
      <alignment horizontal="center" vertical="center"/>
    </xf>
    <xf numFmtId="0" fontId="110" fillId="71" borderId="73" xfId="0" applyFont="1" applyFill="1" applyBorder="1" applyAlignment="1">
      <alignment horizontal="center" vertical="center"/>
    </xf>
    <xf numFmtId="0" fontId="110" fillId="71" borderId="125" xfId="0" applyFont="1" applyFill="1" applyBorder="1" applyAlignment="1">
      <alignment horizontal="center"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4" fillId="0" borderId="23" xfId="0" applyFont="1" applyBorder="1" applyAlignment="1">
      <alignment horizontal="center" vertical="center"/>
    </xf>
    <xf numFmtId="0" fontId="53" fillId="0" borderId="16" xfId="0" applyFont="1" applyBorder="1" applyAlignment="1">
      <alignment horizontal="left" vertical="center"/>
    </xf>
    <xf numFmtId="0" fontId="53" fillId="0" borderId="0" xfId="0" applyFont="1" applyAlignment="1">
      <alignment horizontal="left" vertical="center"/>
    </xf>
    <xf numFmtId="0" fontId="53" fillId="0" borderId="67" xfId="0" applyFont="1" applyBorder="1" applyAlignment="1">
      <alignment horizontal="left" vertical="center"/>
    </xf>
    <xf numFmtId="0" fontId="53" fillId="0" borderId="68" xfId="0" applyFont="1" applyBorder="1" applyAlignment="1">
      <alignment horizontal="left" vertical="center"/>
    </xf>
    <xf numFmtId="0" fontId="101" fillId="0" borderId="0" xfId="0" applyFont="1" applyAlignment="1">
      <alignment horizontal="center" vertical="center"/>
    </xf>
  </cellXfs>
  <cellStyles count="593">
    <cellStyle name="20% - Accent1 10" xfId="4" xr:uid="{4308DA4C-1DA5-4901-A218-664B389F4EBB}"/>
    <cellStyle name="20% - Accent1 11" xfId="5" xr:uid="{0F3B9A50-A7B2-4E06-9FBA-564E61B6E3AF}"/>
    <cellStyle name="20% - Accent1 12" xfId="6" xr:uid="{03D2436F-5CCE-40B1-BD82-E118BD4633BE}"/>
    <cellStyle name="20% - Accent1 13" xfId="7" xr:uid="{419D0C56-326B-480D-A27A-9CD282C8BD0B}"/>
    <cellStyle name="20% - Accent1 14" xfId="8" xr:uid="{04FDCC2E-9403-4AF0-A2D5-5166FB3B08F9}"/>
    <cellStyle name="20% - Accent1 15" xfId="9" xr:uid="{27BF2B55-6AC9-4EEF-9FD7-ECF90AC8F79E}"/>
    <cellStyle name="20% - Accent1 16" xfId="10" xr:uid="{C114C88F-C038-47D7-9D44-D2086B3FD412}"/>
    <cellStyle name="20% - Accent1 2" xfId="11" xr:uid="{3015F915-5C52-4D57-A7E1-FE977BC537AB}"/>
    <cellStyle name="20% - Accent1 3" xfId="12" xr:uid="{B28CF6BC-78D2-4380-B546-180A36208E99}"/>
    <cellStyle name="20% - Accent1 4" xfId="13" xr:uid="{0334B41D-A6C1-4D1D-884F-6ECCF1C2A5E0}"/>
    <cellStyle name="20% - Accent1 5" xfId="14" xr:uid="{A59DEB15-BE3E-4E62-8E72-1F07F3B595B1}"/>
    <cellStyle name="20% - Accent1 6" xfId="15" xr:uid="{697D5AEC-BDC0-42BA-AA54-80E5F92E1C3D}"/>
    <cellStyle name="20% - Accent1 7" xfId="16" xr:uid="{F3F7BE51-9FBE-40C9-964E-3C2BE8B525F9}"/>
    <cellStyle name="20% - Accent1 8" xfId="17" xr:uid="{3AD210EA-E78B-4888-BBBA-DE3A2F57F375}"/>
    <cellStyle name="20% - Accent1 9" xfId="18" xr:uid="{8AAE52EF-0E59-4501-9CE4-814007D36060}"/>
    <cellStyle name="20% - Accent2 10" xfId="19" xr:uid="{3DDF1F04-2B4D-42D6-A5C2-1FFBBFD42EDA}"/>
    <cellStyle name="20% - Accent2 11" xfId="20" xr:uid="{7C2ADB73-4C4C-4DF7-A349-BE81775B0BF2}"/>
    <cellStyle name="20% - Accent2 12" xfId="21" xr:uid="{69EAE01B-1FB1-4D79-A373-F624EB887F59}"/>
    <cellStyle name="20% - Accent2 13" xfId="22" xr:uid="{09BEFBFB-9B46-44C7-8605-08B17531B820}"/>
    <cellStyle name="20% - Accent2 14" xfId="23" xr:uid="{18B05325-70BA-48D3-910B-772C85C84C2F}"/>
    <cellStyle name="20% - Accent2 15" xfId="24" xr:uid="{AD51AD9F-876A-4632-A71C-3F06D5D27A65}"/>
    <cellStyle name="20% - Accent2 16" xfId="25" xr:uid="{5E347F54-1113-4AA0-A236-03483BA30581}"/>
    <cellStyle name="20% - Accent2 2" xfId="26" xr:uid="{28AFFF82-4766-4081-9674-A8F9A34E3BD4}"/>
    <cellStyle name="20% - Accent2 3" xfId="27" xr:uid="{BDC987F8-61BB-432A-BA78-40B24C2613B3}"/>
    <cellStyle name="20% - Accent2 4" xfId="28" xr:uid="{05F64D27-8C93-4AE0-BDC7-715148DDEC80}"/>
    <cellStyle name="20% - Accent2 5" xfId="29" xr:uid="{E2F03CCA-85C6-4C65-8B81-5478D13C6A0F}"/>
    <cellStyle name="20% - Accent2 6" xfId="30" xr:uid="{09E342BB-44A4-4257-8B3E-F34CC7A5EBE8}"/>
    <cellStyle name="20% - Accent2 7" xfId="31" xr:uid="{75EB2D4D-3ED6-45B3-8AC6-84206B6DA5E7}"/>
    <cellStyle name="20% - Accent2 8" xfId="32" xr:uid="{906FC5DB-05EE-4455-886E-25603B3D4377}"/>
    <cellStyle name="20% - Accent2 9" xfId="33" xr:uid="{8E702373-8C8E-4119-B81E-6955063E5569}"/>
    <cellStyle name="20% - Accent3 10" xfId="34" xr:uid="{7DED2E38-4C2C-4EE3-A363-02990E67ACF9}"/>
    <cellStyle name="20% - Accent3 11" xfId="35" xr:uid="{00EA522B-B4DD-49EA-BB5D-5BD162786A33}"/>
    <cellStyle name="20% - Accent3 12" xfId="36" xr:uid="{FC342750-2149-4382-ABFD-C7BCB83CFDF5}"/>
    <cellStyle name="20% - Accent3 13" xfId="37" xr:uid="{D6999871-AA28-4F80-B4F2-72C047C26954}"/>
    <cellStyle name="20% - Accent3 14" xfId="38" xr:uid="{9815103F-7417-409E-822E-9FC7A96BEE2A}"/>
    <cellStyle name="20% - Accent3 15" xfId="39" xr:uid="{D885F35B-B4D9-4EF5-A935-AC378E64A02E}"/>
    <cellStyle name="20% - Accent3 16" xfId="40" xr:uid="{D4D344CA-F272-49AD-93E3-2DAD89A5DB37}"/>
    <cellStyle name="20% - Accent3 2" xfId="41" xr:uid="{2491889C-C5E2-4182-A2E7-025803E85B13}"/>
    <cellStyle name="20% - Accent3 2 2" xfId="288" xr:uid="{26090ADB-ADAE-4AEF-9399-3A0CE1B6EBF8}"/>
    <cellStyle name="20% - Accent3 3" xfId="42" xr:uid="{06A7B68F-6961-4E65-9147-7407C0F86A9D}"/>
    <cellStyle name="20% - Accent3 3 2" xfId="289" xr:uid="{88F64057-DE37-41D1-9E8F-0B224C6E5664}"/>
    <cellStyle name="20% - Accent3 4" xfId="43" xr:uid="{F22B6D9A-A078-47CF-A75E-8F0CF15353EA}"/>
    <cellStyle name="20% - Accent3 4 2" xfId="290" xr:uid="{F7643B0F-0DA2-4693-A325-D6C871B3036E}"/>
    <cellStyle name="20% - Accent3 5" xfId="44" xr:uid="{B8BB582B-D035-41EE-92FC-05F696C2A597}"/>
    <cellStyle name="20% - Accent3 5 2" xfId="291" xr:uid="{ECE1A508-CCAE-41CC-A7E9-33A5132F7CED}"/>
    <cellStyle name="20% - Accent3 6" xfId="45" xr:uid="{B15FFECF-B557-43EA-BD20-F569FDDE3878}"/>
    <cellStyle name="20% - Accent3 6 2" xfId="292" xr:uid="{3806F3F5-C9E6-43D2-9D71-74C82BC0686A}"/>
    <cellStyle name="20% - Accent3 7" xfId="46" xr:uid="{C1CF12C0-64B8-42E5-8E89-7B9B8626C78E}"/>
    <cellStyle name="20% - Accent3 7 2" xfId="293" xr:uid="{B5A54CD8-A72A-48C3-B664-AD3FAD667681}"/>
    <cellStyle name="20% - Accent3 8" xfId="47" xr:uid="{8EEF1FD0-5574-4B70-9207-3F076C8EFACD}"/>
    <cellStyle name="20% - Accent3 9" xfId="48" xr:uid="{E5EE5454-BC17-4A02-BEDF-307BBA15433E}"/>
    <cellStyle name="20% - Accent4 10" xfId="49" xr:uid="{F39C6061-129A-4C31-8249-4750A8DE079D}"/>
    <cellStyle name="20% - Accent4 11" xfId="50" xr:uid="{1DC8C77C-597E-423E-AE85-A9E90EF9F9E2}"/>
    <cellStyle name="20% - Accent4 12" xfId="51" xr:uid="{57408FE7-E417-4EAE-8B8E-31A9A60E9754}"/>
    <cellStyle name="20% - Accent4 13" xfId="52" xr:uid="{C1515EC1-3CCA-4256-A3DE-73B7D437C78E}"/>
    <cellStyle name="20% - Accent4 14" xfId="53" xr:uid="{376EABE0-054B-4506-9C62-0D752B1D4026}"/>
    <cellStyle name="20% - Accent4 15" xfId="54" xr:uid="{E9F50290-2A6F-4FFC-8FFD-C006A3FB6FDB}"/>
    <cellStyle name="20% - Accent4 16" xfId="55" xr:uid="{FC810C28-CDEA-46EB-AEAA-DE718B09BDD6}"/>
    <cellStyle name="20% - Accent4 2" xfId="56" xr:uid="{CC19969E-0C9B-4D97-96F0-136AEA3FA064}"/>
    <cellStyle name="20% - Accent4 3" xfId="57" xr:uid="{EC1A766E-41CB-4849-9CA5-4643714ADE24}"/>
    <cellStyle name="20% - Accent4 4" xfId="58" xr:uid="{A89E52D4-3B6E-4FFD-AA88-FF74C15B268C}"/>
    <cellStyle name="20% - Accent4 5" xfId="59" xr:uid="{B71F6100-5D4F-4549-8E0E-AA66101F185F}"/>
    <cellStyle name="20% - Accent4 6" xfId="60" xr:uid="{61EB6A5C-4145-49E5-8442-64C42643B701}"/>
    <cellStyle name="20% - Accent4 7" xfId="61" xr:uid="{CAEB2469-EA08-4129-B67E-074E10813AC7}"/>
    <cellStyle name="20% - Accent4 8" xfId="62" xr:uid="{27907EAC-744F-40EB-8D98-DA774ACCC400}"/>
    <cellStyle name="20% - Accent4 9" xfId="63" xr:uid="{E2E3B06B-2149-4D2E-8D1D-4C5EED83DC25}"/>
    <cellStyle name="20% - Accent5 10" xfId="64" xr:uid="{0F68EAA5-469C-46B7-94A0-0CE69ACDC311}"/>
    <cellStyle name="20% - Accent5 11" xfId="65" xr:uid="{4FA0061B-1FC6-4BAD-BD63-660C0F9E796D}"/>
    <cellStyle name="20% - Accent5 12" xfId="66" xr:uid="{E83754AB-FED7-4A42-86B8-8AB8324C2DFF}"/>
    <cellStyle name="20% - Accent5 13" xfId="67" xr:uid="{3AAB6E74-5F31-4551-A9E3-83318B60A28C}"/>
    <cellStyle name="20% - Accent5 14" xfId="68" xr:uid="{A8A43A32-DBD3-4644-948A-BC5CA7003D43}"/>
    <cellStyle name="20% - Accent5 15" xfId="69" xr:uid="{5A3A8C2D-880E-4CAF-A227-32F1C939F803}"/>
    <cellStyle name="20% - Accent5 16" xfId="70" xr:uid="{2D5A15F9-C614-471F-9E43-8DA9A91441E2}"/>
    <cellStyle name="20% - Accent5 2" xfId="71" xr:uid="{44FDDA90-7D14-4B32-93D8-18E72A34335F}"/>
    <cellStyle name="20% - Accent5 3" xfId="72" xr:uid="{598178D3-4A73-4E36-B150-40BDFF2E87E4}"/>
    <cellStyle name="20% - Accent5 4" xfId="73" xr:uid="{7A85373A-97CD-4919-878F-1BC97EBC4697}"/>
    <cellStyle name="20% - Accent5 5" xfId="74" xr:uid="{31E6DB31-D31B-409F-AACB-C3AEAC57D2D3}"/>
    <cellStyle name="20% - Accent5 6" xfId="75" xr:uid="{F180EEFA-3CB3-49F3-8516-7CE110905BBD}"/>
    <cellStyle name="20% - Accent5 7" xfId="76" xr:uid="{A7AEB4D1-254D-4066-9507-BE48A2275848}"/>
    <cellStyle name="20% - Accent5 8" xfId="77" xr:uid="{B95DBDCC-D478-4783-97B4-E7FCF3E5AD92}"/>
    <cellStyle name="20% - Accent5 9" xfId="78" xr:uid="{FF8E3C07-8B60-47BB-8806-C2CA9B67DBBD}"/>
    <cellStyle name="20% - Accent6 10" xfId="79" xr:uid="{1D2E7473-3B42-4B32-8C8C-DCCCA7895386}"/>
    <cellStyle name="20% - Accent6 11" xfId="80" xr:uid="{547D72DC-6330-40EB-88DA-E6032BE7603F}"/>
    <cellStyle name="20% - Accent6 12" xfId="81" xr:uid="{F08FF7AC-3242-4AAD-8E8C-32462E56184D}"/>
    <cellStyle name="20% - Accent6 13" xfId="82" xr:uid="{AA31A2A9-136D-45FF-AD32-2A9323765992}"/>
    <cellStyle name="20% - Accent6 14" xfId="83" xr:uid="{36D90E40-5128-4769-890B-8580AE0C38D9}"/>
    <cellStyle name="20% - Accent6 15" xfId="84" xr:uid="{95791E10-66A2-4A1D-83B2-7894CCBA3657}"/>
    <cellStyle name="20% - Accent6 16" xfId="85" xr:uid="{0EDEA5EE-8255-4BDD-9FF8-0A741BA05835}"/>
    <cellStyle name="20% - Accent6 2" xfId="86" xr:uid="{835C96FC-0072-46B8-8D0F-C403204F1502}"/>
    <cellStyle name="20% - Accent6 3" xfId="87" xr:uid="{194350C9-EFFE-484A-B4A1-ADCFB91BB46A}"/>
    <cellStyle name="20% - Accent6 4" xfId="88" xr:uid="{49EE50F1-C0B4-44A6-A89F-9FF922EED4AA}"/>
    <cellStyle name="20% - Accent6 5" xfId="89" xr:uid="{8E9FA43C-925A-459D-B497-B29D81C1BDE6}"/>
    <cellStyle name="20% - Accent6 6" xfId="90" xr:uid="{D5C5E8C7-CB7C-485B-818A-BEF35C66D1E4}"/>
    <cellStyle name="20% - Accent6 7" xfId="91" xr:uid="{775BD40C-78C2-4550-9348-F9B3696B5A56}"/>
    <cellStyle name="20% - Accent6 8" xfId="92" xr:uid="{87163D35-99DD-4485-8A19-4CCDA0DF3229}"/>
    <cellStyle name="20% - Accent6 9" xfId="93" xr:uid="{F24B30DF-C618-471B-AEFA-6E25873ACCD2}"/>
    <cellStyle name="40% - Accent1 10" xfId="94" xr:uid="{92C698E0-9C0B-4B02-9661-0F4A54341236}"/>
    <cellStyle name="40% - Accent1 11" xfId="95" xr:uid="{0877F8F4-100F-4621-9472-EDFCB5614814}"/>
    <cellStyle name="40% - Accent1 12" xfId="96" xr:uid="{BCFAE0D9-5FD8-493B-80D1-2FB383D6E45C}"/>
    <cellStyle name="40% - Accent1 13" xfId="97" xr:uid="{D9EDD60B-2A8C-4FC8-BC45-AA58F5C97E28}"/>
    <cellStyle name="40% - Accent1 14" xfId="98" xr:uid="{3A6728FA-29D1-4930-8AAC-B174D9D2D3A0}"/>
    <cellStyle name="40% - Accent1 15" xfId="99" xr:uid="{4228C055-C4F8-40B6-966C-BD47D2A1119A}"/>
    <cellStyle name="40% - Accent1 16" xfId="100" xr:uid="{5CD8E7E9-E611-4351-9E8B-7B6342CF05CB}"/>
    <cellStyle name="40% - Accent1 2" xfId="101" xr:uid="{0B51CB6C-C0EB-4988-9AC7-447E2E8C2178}"/>
    <cellStyle name="40% - Accent1 3" xfId="102" xr:uid="{D6BD2EA6-A237-43C8-BBAF-8FF5FEC39F46}"/>
    <cellStyle name="40% - Accent1 4" xfId="103" xr:uid="{7B9A754A-20A5-491A-A5F7-0A7C5A1D338C}"/>
    <cellStyle name="40% - Accent1 5" xfId="104" xr:uid="{71810ECA-C160-4826-8873-856F26093A57}"/>
    <cellStyle name="40% - Accent1 6" xfId="105" xr:uid="{B9DF7B0B-7251-4B1E-A7A3-626F1C976AC4}"/>
    <cellStyle name="40% - Accent1 7" xfId="106" xr:uid="{9B755864-756B-49A9-A0C8-0D3CF142CFD0}"/>
    <cellStyle name="40% - Accent1 8" xfId="107" xr:uid="{E0BB23D1-1A6A-4EA6-BE33-CA21B379C452}"/>
    <cellStyle name="40% - Accent1 9" xfId="108" xr:uid="{18B31DF1-5448-4560-B0A5-25014E3FBAEB}"/>
    <cellStyle name="40% - Accent2 10" xfId="109" xr:uid="{B56FEAFD-4820-4F7B-9113-B5ECBBF1F478}"/>
    <cellStyle name="40% - Accent2 11" xfId="110" xr:uid="{70849D96-DE67-4647-871F-74CEA84ABF75}"/>
    <cellStyle name="40% - Accent2 12" xfId="111" xr:uid="{5B86A03D-B6E0-4D56-915B-D9A57C58C957}"/>
    <cellStyle name="40% - Accent2 13" xfId="112" xr:uid="{52AD230D-4599-4BF6-8B3C-BECBB028720D}"/>
    <cellStyle name="40% - Accent2 14" xfId="113" xr:uid="{DD3EABF7-8658-489C-BD40-9FCD51152041}"/>
    <cellStyle name="40% - Accent2 15" xfId="114" xr:uid="{31EA6152-72D3-408B-A842-662D2B5AD99B}"/>
    <cellStyle name="40% - Accent2 16" xfId="115" xr:uid="{B2BA9B45-EC51-4497-A849-EBB88D2603A8}"/>
    <cellStyle name="40% - Accent2 2" xfId="116" xr:uid="{25C7294E-BDEF-42CF-8140-F33A62C32EEA}"/>
    <cellStyle name="40% - Accent2 3" xfId="117" xr:uid="{FE35AE7E-9219-497F-ABE7-070C25139163}"/>
    <cellStyle name="40% - Accent2 4" xfId="118" xr:uid="{30E4198F-B6C7-4431-9AF9-822407D6B682}"/>
    <cellStyle name="40% - Accent2 5" xfId="119" xr:uid="{692CDB59-6EBB-4429-83DC-DD5437A26939}"/>
    <cellStyle name="40% - Accent2 6" xfId="120" xr:uid="{D78BBEFA-951F-4B3E-9186-008C3C1641BC}"/>
    <cellStyle name="40% - Accent2 7" xfId="121" xr:uid="{3DE8DB70-DA29-4A80-BC18-294AEA6F99AD}"/>
    <cellStyle name="40% - Accent2 8" xfId="122" xr:uid="{59FDBFEE-B269-4845-9D6F-9C7A807AA25B}"/>
    <cellStyle name="40% - Accent2 9" xfId="123" xr:uid="{89F256CD-B642-436B-AC45-B64240DCE3D2}"/>
    <cellStyle name="40% - Accent3 10" xfId="124" xr:uid="{63147B34-97C0-4E5C-BC5D-B11FEB2C8C15}"/>
    <cellStyle name="40% - Accent3 11" xfId="125" xr:uid="{504C8E09-217C-4C25-990B-55E52CCF34AD}"/>
    <cellStyle name="40% - Accent3 12" xfId="126" xr:uid="{35F4412F-9889-42E3-A366-069AA96F4A62}"/>
    <cellStyle name="40% - Accent3 13" xfId="127" xr:uid="{1FE2A6FC-C836-4758-A336-7AD8438D738C}"/>
    <cellStyle name="40% - Accent3 14" xfId="128" xr:uid="{B99D4EC3-6F99-4580-9751-B59F81AEDF6B}"/>
    <cellStyle name="40% - Accent3 15" xfId="129" xr:uid="{5D464737-30A5-446D-9376-80EE212ABA4E}"/>
    <cellStyle name="40% - Accent3 16" xfId="130" xr:uid="{58EEEC67-73E7-45E4-B028-C4A62FD8251D}"/>
    <cellStyle name="40% - Accent3 2" xfId="131" xr:uid="{D0FF204C-602A-48D2-9D25-61BDFB157676}"/>
    <cellStyle name="40% - Accent3 3" xfId="132" xr:uid="{5A8CBCBF-6586-4B56-AFE8-80C28969E4D5}"/>
    <cellStyle name="40% - Accent3 4" xfId="133" xr:uid="{2C22DF11-E66E-4355-ABD5-7BA97199AFF4}"/>
    <cellStyle name="40% - Accent3 5" xfId="134" xr:uid="{91853C2E-9577-4BA9-A865-CBD22BA3232A}"/>
    <cellStyle name="40% - Accent3 6" xfId="135" xr:uid="{967E45A3-EF62-45FF-9305-35D13FC52828}"/>
    <cellStyle name="40% - Accent3 7" xfId="136" xr:uid="{7E847215-CB84-4E74-AE7B-5B8F75508F18}"/>
    <cellStyle name="40% - Accent3 8" xfId="137" xr:uid="{13419A88-D954-4C56-B843-8C392B33545A}"/>
    <cellStyle name="40% - Accent3 9" xfId="138" xr:uid="{0DF04C9A-4EBF-4231-9199-BE1778950B0C}"/>
    <cellStyle name="40% - Accent4 10" xfId="139" xr:uid="{B434D513-1708-4E5B-819F-88D1591C145A}"/>
    <cellStyle name="40% - Accent4 11" xfId="140" xr:uid="{021244C5-CA08-467D-8CDD-D8B6D5261FAE}"/>
    <cellStyle name="40% - Accent4 12" xfId="141" xr:uid="{28755D68-3898-4E83-89A8-D9DEC1ADE034}"/>
    <cellStyle name="40% - Accent4 13" xfId="142" xr:uid="{B313ACB9-2EE0-46DE-8917-AFD4F86FB2A7}"/>
    <cellStyle name="40% - Accent4 14" xfId="143" xr:uid="{FFF54989-E497-4297-837B-FC1CE3EE5969}"/>
    <cellStyle name="40% - Accent4 15" xfId="144" xr:uid="{589F6392-669B-41DB-ABC3-CBCA7757C57E}"/>
    <cellStyle name="40% - Accent4 16" xfId="145" xr:uid="{DC80BB5E-6B35-4A08-B3FE-BBF92C8F7EB8}"/>
    <cellStyle name="40% - Accent4 17" xfId="294" xr:uid="{E9C4C01B-1CCA-40F7-AB12-5852A1D1721A}"/>
    <cellStyle name="40% - Accent4 2" xfId="146" xr:uid="{1CC1EB38-2DAD-4EA0-B675-B31D0C1A5E33}"/>
    <cellStyle name="40% - Accent4 2 2" xfId="295" xr:uid="{7849046A-AA54-4BDC-B279-F8A270A3565F}"/>
    <cellStyle name="40% - Accent4 3" xfId="147" xr:uid="{C86D46FC-52AE-45BE-827D-008A12DBBF3C}"/>
    <cellStyle name="40% - Accent4 3 2" xfId="296" xr:uid="{E0B823EA-18A4-4CBA-8058-46792A228958}"/>
    <cellStyle name="40% - Accent4 4" xfId="148" xr:uid="{5E978F79-C194-4D7B-A539-A5F914FB6CA5}"/>
    <cellStyle name="40% - Accent4 4 2" xfId="297" xr:uid="{5CF0BDE6-B0BE-42F3-BD7F-264C797A5AB3}"/>
    <cellStyle name="40% - Accent4 5" xfId="149" xr:uid="{4A8E076E-5F88-4091-9D73-74EEC6718A21}"/>
    <cellStyle name="40% - Accent4 5 2" xfId="298" xr:uid="{496278E5-873F-4249-A1D0-16EA98480E5E}"/>
    <cellStyle name="40% - Accent4 6" xfId="150" xr:uid="{FBA391E8-696E-41C6-AE75-D278E0B71643}"/>
    <cellStyle name="40% - Accent4 6 2" xfId="299" xr:uid="{5386C5C3-7773-4547-BBD5-8A243C474CA9}"/>
    <cellStyle name="40% - Accent4 7" xfId="151" xr:uid="{51F4ADE9-74DC-42A8-9BE1-9D0FFCA92C71}"/>
    <cellStyle name="40% - Accent4 7 2" xfId="300" xr:uid="{53EE35BB-79F1-4398-8F38-2EA262E6176E}"/>
    <cellStyle name="40% - Accent4 8" xfId="152" xr:uid="{4B6DFBEE-5453-47A1-A586-96F17BDA184B}"/>
    <cellStyle name="40% - Accent4 8 2" xfId="301" xr:uid="{D453BBE6-BEE2-439F-8919-7C0607E424E5}"/>
    <cellStyle name="40% - Accent4 9" xfId="153" xr:uid="{69E9B6C8-DDEC-40A5-A9F5-9BCF7B2D323B}"/>
    <cellStyle name="40% - Accent5 10" xfId="154" xr:uid="{C83E7B09-ADB9-476C-A633-E0953526A26D}"/>
    <cellStyle name="40% - Accent5 11" xfId="155" xr:uid="{C4D8BCDE-E29F-4F69-B548-8444C001078D}"/>
    <cellStyle name="40% - Accent5 12" xfId="156" xr:uid="{713BFF6A-7FE7-4DB0-808A-B11ACF7FEF4F}"/>
    <cellStyle name="40% - Accent5 13" xfId="157" xr:uid="{27949BB0-611E-4147-8653-915AE9C4B536}"/>
    <cellStyle name="40% - Accent5 14" xfId="158" xr:uid="{577EC8DB-4474-4912-8A72-C6723DB08F7D}"/>
    <cellStyle name="40% - Accent5 15" xfId="159" xr:uid="{F95485DC-FE12-4E58-9D17-98E2739CC566}"/>
    <cellStyle name="40% - Accent5 16" xfId="160" xr:uid="{D2D981FA-B029-4C87-8452-DC52B1575AD5}"/>
    <cellStyle name="40% - Accent5 2" xfId="161" xr:uid="{5DE39F1E-87B5-4771-8320-E13996F3FD72}"/>
    <cellStyle name="40% - Accent5 3" xfId="162" xr:uid="{82E279CF-7678-4889-8ABA-795C5FD0CD91}"/>
    <cellStyle name="40% - Accent5 4" xfId="163" xr:uid="{3FFBCC98-C385-4398-954A-99DCE522F367}"/>
    <cellStyle name="40% - Accent5 5" xfId="164" xr:uid="{597E3A36-6569-4E80-9C9F-A04A1367BECC}"/>
    <cellStyle name="40% - Accent5 6" xfId="165" xr:uid="{6E527F25-B1A1-4EA3-A972-D0B0388BC7EA}"/>
    <cellStyle name="40% - Accent5 7" xfId="166" xr:uid="{173B267A-8025-4AC4-A025-C180995E2029}"/>
    <cellStyle name="40% - Accent5 8" xfId="167" xr:uid="{8146CA4F-E483-4784-868F-BE743F052736}"/>
    <cellStyle name="40% - Accent5 9" xfId="168" xr:uid="{AC4741DB-0744-49C5-A531-B9C287FA2A20}"/>
    <cellStyle name="40% - Accent6 10" xfId="169" xr:uid="{D0D5D160-1D9D-4689-857F-C6F4FFAE2AA5}"/>
    <cellStyle name="40% - Accent6 11" xfId="170" xr:uid="{35E410B8-973C-4EC5-8A70-5B5658E24925}"/>
    <cellStyle name="40% - Accent6 12" xfId="171" xr:uid="{AF16946F-08D2-4B07-B55D-4605BCF1B330}"/>
    <cellStyle name="40% - Accent6 13" xfId="172" xr:uid="{C56AEFB4-BE0B-40D7-BA0F-16C8FDEFA5E6}"/>
    <cellStyle name="40% - Accent6 14" xfId="173" xr:uid="{81CD16CA-41A5-4B41-8ABA-C617B1051E27}"/>
    <cellStyle name="40% - Accent6 15" xfId="174" xr:uid="{D8236E42-CEA9-478A-9D02-B625AB2ABA9F}"/>
    <cellStyle name="40% - Accent6 16" xfId="175" xr:uid="{DD3606B2-5E25-4D5F-9DCA-085D85138DFD}"/>
    <cellStyle name="40% - Accent6 2" xfId="176" xr:uid="{D9789AA4-CFB6-49C4-B528-5A70FF1075DD}"/>
    <cellStyle name="40% - Accent6 3" xfId="177" xr:uid="{453A1163-9323-49F0-BC2B-CC7046CDB574}"/>
    <cellStyle name="40% - Accent6 4" xfId="178" xr:uid="{10FB88F2-7ED0-4B39-AAB7-45E6A5B51556}"/>
    <cellStyle name="40% - Accent6 5" xfId="179" xr:uid="{3D2842B4-53DC-4784-850B-55BB8D6B9511}"/>
    <cellStyle name="40% - Accent6 6" xfId="180" xr:uid="{5DA22838-C643-4CB1-A3B7-0D860FDB929C}"/>
    <cellStyle name="40% - Accent6 7" xfId="181" xr:uid="{EA87D607-0E13-4E29-8C58-BC174BBB5536}"/>
    <cellStyle name="40% - Accent6 8" xfId="182" xr:uid="{8AEFBB78-1DCD-494A-B0FD-67990185082B}"/>
    <cellStyle name="40% - Accent6 9" xfId="183" xr:uid="{DE9373EB-C789-4F47-AC51-61AB229C7D6F}"/>
    <cellStyle name="60% - Accent1 2" xfId="184" xr:uid="{1970726B-F3AF-4939-A681-05051B9D137E}"/>
    <cellStyle name="60% - Accent1 3" xfId="185" xr:uid="{9FCD0F75-071E-4373-9BE9-EB6B0AC70CEB}"/>
    <cellStyle name="60% - Accent1 4" xfId="186" xr:uid="{9751D4E7-8877-4314-9381-D0BCDD7CC1E5}"/>
    <cellStyle name="60% - Accent2 2" xfId="187" xr:uid="{77F55095-A354-486C-856E-232A55ED555C}"/>
    <cellStyle name="60% - Accent2 3" xfId="188" xr:uid="{AE5D023C-7835-4299-B392-57105084C247}"/>
    <cellStyle name="60% - Accent2 4" xfId="189" xr:uid="{5D2738C9-BA16-4CB5-BAE4-5202B12E4ADD}"/>
    <cellStyle name="60% - Accent3 2" xfId="190" xr:uid="{8F5248E4-9CCC-4D39-AE1F-7DD1F84BFDD2}"/>
    <cellStyle name="60% - Accent3 3" xfId="191" xr:uid="{07D24C35-49C7-480A-B687-701FDBD845C7}"/>
    <cellStyle name="60% - Accent3 4" xfId="192" xr:uid="{652D3C90-278D-4B1C-98A4-70BA8B4E1B69}"/>
    <cellStyle name="60% - Accent4 2" xfId="193" xr:uid="{19E99C36-743F-45B1-8A7F-D5D8C30878A0}"/>
    <cellStyle name="60% - Accent4 3" xfId="194" xr:uid="{FEDB0DC0-9ADE-44C0-9E58-75840EF75603}"/>
    <cellStyle name="60% - Accent4 4" xfId="195" xr:uid="{FB505BFD-5666-4F4B-A693-FAEC90C1CB98}"/>
    <cellStyle name="60% - Accent5 2" xfId="196" xr:uid="{7F0EF01E-490F-4429-9501-F7AF73CF7CF0}"/>
    <cellStyle name="60% - Accent5 3" xfId="197" xr:uid="{32E8E540-EAA1-4B96-9ECF-C574620DEFD8}"/>
    <cellStyle name="60% - Accent5 4" xfId="198" xr:uid="{7B91A77A-4597-4668-8023-4FAE4CBAB434}"/>
    <cellStyle name="60% - Accent6 2" xfId="199" xr:uid="{EA334929-18C4-4AFB-AB93-EB8F28FCE125}"/>
    <cellStyle name="60% - Accent6 3" xfId="200" xr:uid="{2D2DC554-A119-4D39-9AFA-E977CC3997EB}"/>
    <cellStyle name="60% - Accent6 4" xfId="201" xr:uid="{452069AB-BCBD-4337-A29E-B2153DD2B0B8}"/>
    <cellStyle name="Accent1 2" xfId="202" xr:uid="{97EB9830-7454-4DF7-A1DB-689DA917F3B6}"/>
    <cellStyle name="Accent1 2 2" xfId="302" xr:uid="{4D008B26-BEC2-4DA4-9F4F-C2E6558E0E87}"/>
    <cellStyle name="Accent1 3" xfId="203" xr:uid="{9766CAE4-3661-4B40-B965-D8520BFA8EF5}"/>
    <cellStyle name="Accent1 4" xfId="204" xr:uid="{951CCD4E-4062-4D52-AE06-2DC84358F088}"/>
    <cellStyle name="Accent2 2" xfId="205" xr:uid="{A50A83CE-89E7-435E-9A81-9D373DE57C19}"/>
    <cellStyle name="Accent2 3" xfId="206" xr:uid="{C7BCAD08-2D0A-4DF1-8696-F0C0D8AC5AF2}"/>
    <cellStyle name="Accent2 4" xfId="207" xr:uid="{7A7F4C7D-E6EA-4356-9EBA-9EC3BDF6B778}"/>
    <cellStyle name="Accent3 2" xfId="208" xr:uid="{A2B18485-6771-4300-A499-8220AF7E59CC}"/>
    <cellStyle name="Accent3 3" xfId="209" xr:uid="{668B5DD3-B67B-40F1-A785-E69E84C71D54}"/>
    <cellStyle name="Accent3 4" xfId="210" xr:uid="{808EB7DD-0A97-42D3-99DB-58469DDAF1EA}"/>
    <cellStyle name="Accent4 2" xfId="211" xr:uid="{2641F6BC-CA38-41CB-87E9-A1D372496FA0}"/>
    <cellStyle name="Accent4 2 2" xfId="304" xr:uid="{A2D1A170-056D-405C-9ACC-A86AB0C5748D}"/>
    <cellStyle name="Accent4 3" xfId="212" xr:uid="{8CADD052-551B-4804-835B-F26FD7D09002}"/>
    <cellStyle name="Accent4 3 2" xfId="305" xr:uid="{B26A41FA-0AE9-4752-B41A-238949294065}"/>
    <cellStyle name="Accent4 4" xfId="213" xr:uid="{E1C7A0F3-920E-4303-8B2C-AC97C34A30DE}"/>
    <cellStyle name="Accent4 4 2" xfId="306" xr:uid="{8E0AFE6C-9E07-4CB2-96B5-080AB1E7CA87}"/>
    <cellStyle name="Accent4 5" xfId="307" xr:uid="{EAE3383C-371B-448D-97A9-3F31037BC887}"/>
    <cellStyle name="Accent4 6" xfId="308" xr:uid="{0AEAB11B-1BA7-4AEB-9D5B-FB2B598030FA}"/>
    <cellStyle name="Accent4 7" xfId="309" xr:uid="{0AD7032E-33CC-4335-B1B3-A4815E8713E5}"/>
    <cellStyle name="Accent4 8" xfId="310" xr:uid="{8BAA9154-12AE-4CE4-B395-2486ABCFB140}"/>
    <cellStyle name="Accent4 9" xfId="303" xr:uid="{5A700D9D-5B27-4695-A757-1391F8787AB4}"/>
    <cellStyle name="Accent5 2" xfId="214" xr:uid="{F58799A4-43EC-4A1D-A93C-F34DF967D1DC}"/>
    <cellStyle name="Accent5 3" xfId="215" xr:uid="{174CC94C-3B10-415F-B800-653AA1658784}"/>
    <cellStyle name="Accent5 4" xfId="216" xr:uid="{14722E32-F12E-40C5-BD18-8A14A6E052A5}"/>
    <cellStyle name="Accent6 2" xfId="217" xr:uid="{264FBB2E-7F4B-4273-93B7-4709669A0B47}"/>
    <cellStyle name="Accent6 3" xfId="218" xr:uid="{1DAA586B-7B6B-4918-9DB7-396A491746D4}"/>
    <cellStyle name="Accent6 4" xfId="219" xr:uid="{EF6BA77C-C739-4B3D-9D3E-424848E587B0}"/>
    <cellStyle name="Bad 2" xfId="220" xr:uid="{D6499935-3EEB-42FC-A736-C30AE799B1A3}"/>
    <cellStyle name="Bad 3" xfId="221" xr:uid="{40D4F51F-8235-46F7-A398-BA534AC91794}"/>
    <cellStyle name="Bad 4" xfId="222" xr:uid="{83D7FA16-CC33-43CA-A0C2-F31186CC7AEF}"/>
    <cellStyle name="Body: normal cell" xfId="1" xr:uid="{0EB8FB01-A6B9-4425-91A8-A9CBECF9F557}"/>
    <cellStyle name="Calculation 2" xfId="223" xr:uid="{F7657FD9-2E2F-40F3-9B2C-3C9DA6312A0A}"/>
    <cellStyle name="Calculation 2 2" xfId="524" xr:uid="{A5BB18A5-644C-4644-B2F7-B2CE384640AC}"/>
    <cellStyle name="Calculation 2 2 2" xfId="570" xr:uid="{84987974-F773-45E6-9A6D-926DFAED0F39}"/>
    <cellStyle name="Calculation 2 3" xfId="546" xr:uid="{1322703A-617D-4558-8B44-D315F9ED01FC}"/>
    <cellStyle name="Calculation 3" xfId="224" xr:uid="{18F4D07F-EA1E-4917-A77F-8D550B431795}"/>
    <cellStyle name="Calculation 4" xfId="225" xr:uid="{0F43102D-942A-4BB6-A1A5-5A261151E4C3}"/>
    <cellStyle name="Calculation 4 2" xfId="525" xr:uid="{1E5BC5F6-39E3-4F40-9FEB-B95A01D179C5}"/>
    <cellStyle name="Calculation 4 2 2" xfId="571" xr:uid="{93C0210C-FECE-4D2D-8589-70E73448B957}"/>
    <cellStyle name="Calculation 4 3" xfId="547" xr:uid="{36B6D9D1-67D4-4AB7-AE9F-9A8258B445BC}"/>
    <cellStyle name="Check Cell 2" xfId="226" xr:uid="{CBF96A93-95F7-41F1-AEB8-5E6D7245D048}"/>
    <cellStyle name="Check Cell 3" xfId="227" xr:uid="{5F0C15F2-A0DE-4C18-A710-DF0B47121912}"/>
    <cellStyle name="Check Cell 4" xfId="228" xr:uid="{3CCCD22E-5F4D-4A0E-AED3-120E7785678F}"/>
    <cellStyle name="Comma 10" xfId="312" xr:uid="{3AA4239D-281A-484D-9D05-AA341969CC0F}"/>
    <cellStyle name="Comma 11" xfId="311" xr:uid="{634D5987-B9C2-4BB9-BE57-0003246E0EF7}"/>
    <cellStyle name="Comma 2" xfId="229" xr:uid="{C43A2341-A255-4CC6-80D0-09A35ED28A52}"/>
    <cellStyle name="Comma 2 2" xfId="313" xr:uid="{30874003-01D7-4309-B0E1-A9DACDA6650E}"/>
    <cellStyle name="Comma 2 3" xfId="314" xr:uid="{A99F532E-7BED-4BEC-BC73-1B6B90554C80}"/>
    <cellStyle name="Comma 2 4" xfId="315" xr:uid="{671C054E-99DA-4499-A813-8137C38F0266}"/>
    <cellStyle name="Comma 2 5" xfId="316" xr:uid="{3852C2C0-8E49-46E7-8830-FC1A6D43E6D5}"/>
    <cellStyle name="Comma 2 6" xfId="317" xr:uid="{69824632-ED5D-4BF4-BFE1-3005A1FB3C60}"/>
    <cellStyle name="Comma 2 7" xfId="318" xr:uid="{8DC2EA7B-9D47-4068-A9BA-1F05D421AC87}"/>
    <cellStyle name="Comma 2 8" xfId="319" xr:uid="{483944C5-24E7-4302-87D8-456A8EC6653C}"/>
    <cellStyle name="Comma 2 9" xfId="320" xr:uid="{980479EC-4B64-43FC-ACEA-B71E0D3A97BA}"/>
    <cellStyle name="Comma 3" xfId="321" xr:uid="{88E601E0-E317-4954-BACC-F8E412E0BC63}"/>
    <cellStyle name="Comma 4" xfId="322" xr:uid="{CA1622CF-EA2D-4F1D-B115-8528E2D1F564}"/>
    <cellStyle name="Comma 4 2" xfId="323" xr:uid="{8D1D8DDC-844D-41B4-A760-916986D0E240}"/>
    <cellStyle name="Comma 4 3" xfId="324" xr:uid="{E872F05E-779F-4335-BD1A-8B91DEAB11AE}"/>
    <cellStyle name="Comma 5" xfId="325" xr:uid="{20D3D38A-AD1F-436C-B9A0-2E59320B7BB8}"/>
    <cellStyle name="Comma 6" xfId="326" xr:uid="{7703B368-AED7-48EC-8935-9DE29DE0D615}"/>
    <cellStyle name="Comma 7" xfId="327" xr:uid="{B5895084-9B76-471E-A4F1-31CF9DFE26EA}"/>
    <cellStyle name="Comma 8" xfId="328" xr:uid="{E0B85EB0-AD50-469B-85A0-C9DFF87FAE9F}"/>
    <cellStyle name="Comma 9" xfId="329" xr:uid="{005447B3-015B-4989-984D-48C0FD2B9A12}"/>
    <cellStyle name="Currency 2" xfId="331" xr:uid="{A5769EE6-43EE-4A82-BBCB-FA5A221CC663}"/>
    <cellStyle name="Currency 2 2" xfId="332" xr:uid="{38FE37C6-F59A-4C3A-94DC-C0FDCDA5A0B8}"/>
    <cellStyle name="Currency 2 3" xfId="333" xr:uid="{E0EBEB70-6D11-43DD-BD35-43A9ADC071DB}"/>
    <cellStyle name="Currency 2 4" xfId="334" xr:uid="{8D41A5CE-9412-4BA9-91F6-1DBF2B08E157}"/>
    <cellStyle name="Currency 2 5" xfId="335" xr:uid="{AE121F9D-923D-4883-9F79-47AA3067ADFD}"/>
    <cellStyle name="Currency 2 6" xfId="336" xr:uid="{1598A426-D618-42BD-A165-2CE6155A5096}"/>
    <cellStyle name="Currency 2 7" xfId="337" xr:uid="{44FB8AA5-2E45-4D52-81D9-38B737F6CD67}"/>
    <cellStyle name="Currency 2 8" xfId="338" xr:uid="{90024211-1087-4B19-A836-CBA60FD1CA8B}"/>
    <cellStyle name="Currency 2 9" xfId="339" xr:uid="{53CEDBE5-F8DC-485A-B384-A66C7C43C9F7}"/>
    <cellStyle name="Currency 3" xfId="340" xr:uid="{91D2D7F6-9629-4DB2-A557-081D081A0AFC}"/>
    <cellStyle name="Currency 4" xfId="341" xr:uid="{3FDFE4C9-F3F0-4E87-AEED-F1A777B3FAB9}"/>
    <cellStyle name="Currency 5" xfId="342" xr:uid="{0CB13A9A-80A1-42E2-B3B5-7D4B2D4CBC44}"/>
    <cellStyle name="Currency 6" xfId="343" xr:uid="{162371BC-22BA-4EE0-8241-F0AB52F2027E}"/>
    <cellStyle name="Currency 7" xfId="344" xr:uid="{63EC1B96-A540-4C22-A409-C3EC89F5489D}"/>
    <cellStyle name="Currency 8" xfId="330" xr:uid="{F43F7105-55C3-4595-962C-BF7714B89038}"/>
    <cellStyle name="Explanatory Text 2" xfId="230" xr:uid="{57C099F3-FD1B-44A9-94D7-B4D8B9D1E976}"/>
    <cellStyle name="Explanatory Text 3" xfId="231" xr:uid="{E500ADEB-33B8-4259-A87B-D58E2717BC3E}"/>
    <cellStyle name="Explanatory Text 4" xfId="232" xr:uid="{61C88AD7-D2C4-466C-98CE-4AFFE55FC782}"/>
    <cellStyle name="Good 2" xfId="233" xr:uid="{CC336C70-05BE-41B3-83A2-CBFFE6D5707A}"/>
    <cellStyle name="Good 3" xfId="234" xr:uid="{5030DE01-4348-43B3-B15D-507C242C5979}"/>
    <cellStyle name="Good 4" xfId="235" xr:uid="{10C26121-9033-4D95-B465-2E6E8DBFA7FB}"/>
    <cellStyle name="Heading 1 2" xfId="236" xr:uid="{C021C777-BA9B-47C6-9F17-C522B74B4EBC}"/>
    <cellStyle name="Heading 1 2 2" xfId="345" xr:uid="{76DD7ED1-FCE2-471D-BC68-CBD905FCA0DF}"/>
    <cellStyle name="Heading 1 3" xfId="237" xr:uid="{43F4D040-63C4-4D1F-B566-CD1AC89E91F4}"/>
    <cellStyle name="Heading 1 3 2" xfId="346" xr:uid="{793475A2-2DF5-46B3-B0C8-68EDF0CC6F10}"/>
    <cellStyle name="Heading 1 4" xfId="238" xr:uid="{C4722522-CD4C-43FD-84C7-6FEC0AEE4127}"/>
    <cellStyle name="Heading 1 4 2" xfId="347" xr:uid="{C41838D3-3943-480A-9600-61F5CCD2D95A}"/>
    <cellStyle name="Heading 1 5" xfId="348" xr:uid="{0FCED138-051B-4FE5-AC6C-52B72A1A8E4B}"/>
    <cellStyle name="Heading 1 6" xfId="349" xr:uid="{376545D6-D42C-4BFB-BD12-3AA12346C8A2}"/>
    <cellStyle name="Heading 1 7" xfId="350" xr:uid="{7A890A4B-CE55-4D02-93AA-F3A44946CD5E}"/>
    <cellStyle name="Heading 1 8" xfId="351" xr:uid="{CD36595C-604C-4773-BE26-AE49A23AF81D}"/>
    <cellStyle name="Heading 2 2" xfId="239" xr:uid="{B31036B2-821F-4430-9D99-470836AD3276}"/>
    <cellStyle name="Heading 2 3" xfId="240" xr:uid="{FA56F513-ED4E-4516-B7FF-EAAA9C462439}"/>
    <cellStyle name="Heading 2 4" xfId="241" xr:uid="{3373765C-2ED2-4CFB-9539-1BF9849C0F9D}"/>
    <cellStyle name="Heading 3 2" xfId="242" xr:uid="{33B4C6FD-73F4-4B65-ADB0-6DD4D8046603}"/>
    <cellStyle name="Heading 3 3" xfId="243" xr:uid="{647A6CD1-8072-4FE7-B7EF-4C069738E194}"/>
    <cellStyle name="Heading 3 4" xfId="244" xr:uid="{9B1D7753-D3B8-4C8A-9073-A6DA862FDD4D}"/>
    <cellStyle name="Heading 4 2" xfId="245" xr:uid="{DD401614-79A5-4426-9B36-8F5FD8B92F10}"/>
    <cellStyle name="Heading 4 3" xfId="246" xr:uid="{9917C1BD-1C6E-4CF3-9302-BB93C709873A}"/>
    <cellStyle name="Heading 4 4" xfId="247" xr:uid="{D67B1F40-C4E1-449A-8D97-E003D91C0287}"/>
    <cellStyle name="Hyperlink" xfId="592" builtinId="8"/>
    <cellStyle name="Hyperlink 2" xfId="352" xr:uid="{AB9A6FCD-8ADE-4EDC-98C0-7844CD747B5E}"/>
    <cellStyle name="Hyperlink 2 2" xfId="353" xr:uid="{20E42EF3-443D-4357-B600-20CBF4851B76}"/>
    <cellStyle name="Hyperlink 2 3" xfId="354" xr:uid="{3FACF85D-8BAB-44BC-A84D-972657034F49}"/>
    <cellStyle name="Hyperlink 3" xfId="355" xr:uid="{F6220DF7-9AE3-47CB-99CB-FDE3C12BC5A5}"/>
    <cellStyle name="Input 2" xfId="248" xr:uid="{1FAEF555-9B50-4F80-9707-C0F28278CC71}"/>
    <cellStyle name="Input 2 2" xfId="536" xr:uid="{C344F6A4-E108-4C99-9475-E78544C99A6B}"/>
    <cellStyle name="Input 2 2 2" xfId="582" xr:uid="{F7D38454-0A6E-4518-B529-E7C4DAFA741F}"/>
    <cellStyle name="Input 2 3" xfId="548" xr:uid="{D237E574-B6BD-491D-8D28-558C6997324D}"/>
    <cellStyle name="Input 3" xfId="249" xr:uid="{C1C47256-A37D-4B27-AFF8-824AD43ADF0B}"/>
    <cellStyle name="Input 4" xfId="250" xr:uid="{552EF1A6-AB78-47D9-A545-3A245E717351}"/>
    <cellStyle name="Input 4 2" xfId="526" xr:uid="{7A434A09-BF72-4860-9604-DE8D91DC3FEC}"/>
    <cellStyle name="Input 4 2 2" xfId="572" xr:uid="{BAE1AA64-7863-4DE2-B60D-9979F4DF0798}"/>
    <cellStyle name="Input 4 3" xfId="549" xr:uid="{6204BD81-11CD-4736-83CD-FDDCC17749BE}"/>
    <cellStyle name="Linked Cell 2" xfId="251" xr:uid="{AC92CA7C-FD11-44D1-9E2F-52C604C7A893}"/>
    <cellStyle name="Linked Cell 3" xfId="252" xr:uid="{30ED4248-2188-4162-BAAD-44AA7A4C9781}"/>
    <cellStyle name="Linked Cell 4" xfId="253" xr:uid="{94CDC753-CDB1-47C3-B020-AB10A8955D4E}"/>
    <cellStyle name="Neutral 2" xfId="254" xr:uid="{8C2F9D8D-66F1-4CEE-8614-5E559F279844}"/>
    <cellStyle name="Neutral 3" xfId="255" xr:uid="{CD5137E9-0878-41BD-AB30-295594521938}"/>
    <cellStyle name="Neutral 4" xfId="256" xr:uid="{BC7CB05D-8A6E-485E-ADCF-0678E5FC4C08}"/>
    <cellStyle name="Normal" xfId="0" builtinId="0"/>
    <cellStyle name="Normal 10" xfId="356" xr:uid="{C7953D2B-CFC7-4152-9D2E-003075447AC9}"/>
    <cellStyle name="Normal 10 2" xfId="357" xr:uid="{6189C899-A727-49C3-899A-A21913A8495C}"/>
    <cellStyle name="Normal 11 2" xfId="358" xr:uid="{B1852330-C186-4EB3-A95D-69B38EFACEF0}"/>
    <cellStyle name="Normal 11 3" xfId="359" xr:uid="{1DDD5990-A860-4CCC-9CE9-23F612F1EEE4}"/>
    <cellStyle name="Normal 11 4" xfId="360" xr:uid="{647322E7-A2A1-4194-A54F-C6A33B9CA704}"/>
    <cellStyle name="Normal 11 5" xfId="361" xr:uid="{75BB7CD8-517E-4A93-9405-C8B740B1AF03}"/>
    <cellStyle name="Normal 13 2" xfId="362" xr:uid="{4DDD2C11-E206-457D-ABF5-48D99842FBD3}"/>
    <cellStyle name="Normal 13 3" xfId="363" xr:uid="{CBC5F369-F1D9-4858-AEEC-86332056B6EA}"/>
    <cellStyle name="Normal 13 4" xfId="364" xr:uid="{54848621-01EE-41E6-A25D-3225B58EAF8F}"/>
    <cellStyle name="Normal 13 5" xfId="365" xr:uid="{0DD32F4C-97C0-48DC-B77B-133A92A6C060}"/>
    <cellStyle name="Normal 14 2" xfId="366" xr:uid="{2C956B81-5F96-40E7-829B-1A7CDBAB24E3}"/>
    <cellStyle name="Normal 14 3" xfId="367" xr:uid="{9B655BCC-7555-4CBE-8CAA-5D428E376311}"/>
    <cellStyle name="Normal 14 4" xfId="368" xr:uid="{67DD4E62-B5EC-4217-9122-44AEC4CF80CA}"/>
    <cellStyle name="Normal 14 5" xfId="369" xr:uid="{9E0C23AD-874B-4E9D-9799-AD2DE3E1C879}"/>
    <cellStyle name="Normal 15 2" xfId="370" xr:uid="{F4E2806A-3BE9-43FA-82AC-75B15E1E5F5D}"/>
    <cellStyle name="Normal 15 3" xfId="371" xr:uid="{9338F0D9-5CD5-489C-8E10-CB0897105F55}"/>
    <cellStyle name="Normal 15 4" xfId="372" xr:uid="{669E31A5-B0C0-4F18-8F1B-90DC3CAEEA1F}"/>
    <cellStyle name="Normal 15 5" xfId="373" xr:uid="{9002D63B-832F-4EA5-9334-A0DB58677B3B}"/>
    <cellStyle name="Normal 16 2" xfId="374" xr:uid="{EB42E1B2-4682-4B39-A7FD-182A8B9C1B09}"/>
    <cellStyle name="Normal 16 3" xfId="375" xr:uid="{4190130C-9333-4D41-9ADA-65FF0E7002B9}"/>
    <cellStyle name="Normal 16 4" xfId="376" xr:uid="{DCEE74CF-BFFA-495D-9467-0CA4A40C3ABC}"/>
    <cellStyle name="Normal 16 5" xfId="377" xr:uid="{E119E603-BB19-4709-BA49-4271A749AC5C}"/>
    <cellStyle name="Normal 2" xfId="3" xr:uid="{DAFFCEEA-A5D1-47AE-9A13-701F6FB31BBB}"/>
    <cellStyle name="Normal 2 10" xfId="379" xr:uid="{15324EC9-69DD-4515-A73E-A8D35A24BE16}"/>
    <cellStyle name="Normal 2 11" xfId="522" xr:uid="{62DB26E2-F586-4159-95FD-A5640D8509A7}"/>
    <cellStyle name="Normal 2 12" xfId="378" xr:uid="{51800DE2-7E10-4DDE-9D98-53F4C138C177}"/>
    <cellStyle name="Normal 2 2" xfId="380" xr:uid="{5803581D-96E7-4665-8B92-4C922A618940}"/>
    <cellStyle name="Normal 2 2 2" xfId="381" xr:uid="{E6CD70BF-F62D-49C5-827D-0DF0F8C589C5}"/>
    <cellStyle name="Normal 2 2 3" xfId="382" xr:uid="{5FB22FF4-F45D-4D7F-8B2E-88186F23A5B5}"/>
    <cellStyle name="Normal 2 2 4" xfId="383" xr:uid="{7B3CB313-D833-4E69-B28E-A458F7358087}"/>
    <cellStyle name="Normal 2 2 5" xfId="384" xr:uid="{E9627695-C205-463E-B7AA-C01E8BEB9924}"/>
    <cellStyle name="Normal 2 2 6" xfId="385" xr:uid="{FEE21E83-6D2F-4A54-B243-38AD73D6109B}"/>
    <cellStyle name="Normal 2 2 7" xfId="386" xr:uid="{BF645DD5-427A-4741-ABBE-602772237EE6}"/>
    <cellStyle name="Normal 2 2 8" xfId="387" xr:uid="{C0173D2C-6920-45E2-8574-671ADD65ECF1}"/>
    <cellStyle name="Normal 2 2 9" xfId="388" xr:uid="{D670F074-C924-434E-96F7-2CBDA70935C8}"/>
    <cellStyle name="Normal 2 3" xfId="389" xr:uid="{86D24DD3-A9EB-4DCE-8E20-B33160D68F02}"/>
    <cellStyle name="Normal 2 4" xfId="390" xr:uid="{DA4D8545-4436-4DD8-9BBC-CE87755009A8}"/>
    <cellStyle name="Normal 2 5" xfId="391" xr:uid="{EABA618E-A652-41E9-B8CA-4529A0DD3B68}"/>
    <cellStyle name="Normal 2 6" xfId="392" xr:uid="{3E131B25-230E-46F2-AFC8-55D50A8C2913}"/>
    <cellStyle name="Normal 2 7" xfId="393" xr:uid="{75D7C66D-4B77-460B-A6B3-8C3E44EB9EDA}"/>
    <cellStyle name="Normal 2 8" xfId="394" xr:uid="{A2F61E21-DBC6-43CF-B2CB-6F32C922C7D4}"/>
    <cellStyle name="Normal 2 9" xfId="395" xr:uid="{78193E3E-D8AC-4009-AC54-262433529BFB}"/>
    <cellStyle name="Normal 3" xfId="257" xr:uid="{4320B436-E9E7-45BE-BEEF-49556F512D14}"/>
    <cellStyle name="Normal 3 10" xfId="396" xr:uid="{DAD1628C-6AC8-485E-B6A2-6D4130637D0A}"/>
    <cellStyle name="Normal 3 2" xfId="258" xr:uid="{BD96C6BC-1F71-443B-909E-4A6FF4D1DBF5}"/>
    <cellStyle name="Normal 3 2 10" xfId="397" xr:uid="{37D4F96F-BCAA-4B8B-9AF1-D8712FE35E69}"/>
    <cellStyle name="Normal 3 2 2" xfId="398" xr:uid="{52627ACD-0476-4655-9877-D9CABD8C28D3}"/>
    <cellStyle name="Normal 3 2 3" xfId="399" xr:uid="{3CD50C93-5622-4783-A20F-D68D63938DBD}"/>
    <cellStyle name="Normal 3 2 4" xfId="400" xr:uid="{C893C077-4A19-4839-A4DD-B9B88A1E4680}"/>
    <cellStyle name="Normal 3 2 5" xfId="401" xr:uid="{8D52516E-88B9-45BA-8BEC-7B8ED857525C}"/>
    <cellStyle name="Normal 3 2 6" xfId="402" xr:uid="{8F54233F-535D-4043-A78F-A0A2DBB29A62}"/>
    <cellStyle name="Normal 3 2 7" xfId="403" xr:uid="{B86D73B8-4CA6-4FA9-B71C-DCBBF3384CE3}"/>
    <cellStyle name="Normal 3 2 8" xfId="404" xr:uid="{43229174-C07F-4886-8026-B4888F04FB45}"/>
    <cellStyle name="Normal 3 2 9" xfId="405" xr:uid="{9D7C6DD3-B52E-48B9-A113-71551B9D4F3E}"/>
    <cellStyle name="Normal 3 3" xfId="406" xr:uid="{8CE7BBC7-2CDE-427B-888F-465DC121D775}"/>
    <cellStyle name="Normal 3 4" xfId="407" xr:uid="{C8D80100-8F61-4B80-A073-1C6666BFCA94}"/>
    <cellStyle name="Normal 3 5" xfId="408" xr:uid="{FEDEF4ED-B042-428F-8D79-6CFE50758804}"/>
    <cellStyle name="Normal 3 6" xfId="409" xr:uid="{2095BC8F-09F2-4E76-BDCA-D9DED5109CB1}"/>
    <cellStyle name="Normal 3 7" xfId="410" xr:uid="{0DA81BC4-2FBF-4F38-8682-103BD214F5C6}"/>
    <cellStyle name="Normal 3 8" xfId="411" xr:uid="{965D2E89-41EC-4E49-9133-79023F345EE2}"/>
    <cellStyle name="Normal 3 9" xfId="412" xr:uid="{5BF2F6ED-B76B-476B-8867-9BD174AB2435}"/>
    <cellStyle name="Normal 4" xfId="259" xr:uid="{378652E2-FF43-4C49-9075-0681B333FBD6}"/>
    <cellStyle name="Normal 4 2" xfId="413" xr:uid="{3098782C-829A-4F0D-8B24-C519FC86DB83}"/>
    <cellStyle name="Normal 4 3" xfId="414" xr:uid="{B2338AB0-950C-4267-BC2D-6116AC8FAF6F}"/>
    <cellStyle name="Normal 4 4" xfId="415" xr:uid="{1A52A426-37AD-4A80-9438-D684D05B9FEA}"/>
    <cellStyle name="Normal 4 5" xfId="416" xr:uid="{8F7A3A35-3959-4D42-AA8E-39860276607B}"/>
    <cellStyle name="Normal 4 6" xfId="417" xr:uid="{00833D93-721D-4710-95C1-D99F1A4B565E}"/>
    <cellStyle name="Normal 4 7" xfId="418" xr:uid="{231077F7-AAA4-4E9E-9B59-C6DF15A86DF4}"/>
    <cellStyle name="Normal 4 8" xfId="419" xr:uid="{A7A34486-1C73-4835-94EB-0ADFF3B7EB6A}"/>
    <cellStyle name="Normal 4 9" xfId="420" xr:uid="{8C7CD9C9-3799-4258-AD64-1C4ECFA5B6F1}"/>
    <cellStyle name="Normal 5" xfId="421" xr:uid="{C6A1A9B1-5D82-4572-B040-9080E896447F}"/>
    <cellStyle name="Normal 5 2" xfId="422" xr:uid="{7318F0A8-036A-4507-830B-B23734230014}"/>
    <cellStyle name="Normal 5 3" xfId="423" xr:uid="{74ABE543-2988-4E7F-AB5E-3977C252DFC1}"/>
    <cellStyle name="Normal 5 4" xfId="424" xr:uid="{9DCE904A-0583-4309-A46A-F8379A6CD8F2}"/>
    <cellStyle name="Normal 5 5" xfId="425" xr:uid="{219210A9-08A0-41F0-B608-A66BEA9C0400}"/>
    <cellStyle name="Normal 5 6" xfId="426" xr:uid="{AA0509F1-C614-4C0D-B916-181A9045AF8A}"/>
    <cellStyle name="Normal 5 7" xfId="427" xr:uid="{564F1794-B9EF-4F93-9F9C-E3147BFA3DCD}"/>
    <cellStyle name="Normal 5 8" xfId="428" xr:uid="{9C900800-015A-449C-A215-8CBD418C0118}"/>
    <cellStyle name="Normal 5 9" xfId="429" xr:uid="{1E5B9D7B-6DD8-4883-8A0F-70D529E289D7}"/>
    <cellStyle name="Normal 6" xfId="430" xr:uid="{0BD11EB3-099D-4EB2-98CA-4CC7AF3271F7}"/>
    <cellStyle name="Normal 6 10" xfId="431" xr:uid="{53636890-E481-4F41-9531-6DFC73E6F3E5}"/>
    <cellStyle name="Normal 6 2" xfId="432" xr:uid="{B31D08EC-FDFE-412D-82BB-498F5A99493D}"/>
    <cellStyle name="Normal 6 2 2" xfId="433" xr:uid="{4210FEA8-59C6-4FB6-B260-ED95DC0CF8A0}"/>
    <cellStyle name="Normal 6 2 3" xfId="434" xr:uid="{C7DE9057-11BF-40A1-AC63-78EB242FCDB6}"/>
    <cellStyle name="Normal 6 2 4" xfId="435" xr:uid="{ED920366-8354-46F8-B400-53A3F96D0D4B}"/>
    <cellStyle name="Normal 6 2 5" xfId="436" xr:uid="{91DFCBA6-A36E-4700-8EB4-7E054970769C}"/>
    <cellStyle name="Normal 6 2 6" xfId="437" xr:uid="{2DEFDCE5-06AD-4173-A806-D89F17E6572F}"/>
    <cellStyle name="Normal 6 2 7" xfId="438" xr:uid="{43501D76-F1E0-42F4-8864-84BE4B04F140}"/>
    <cellStyle name="Normal 6 2 8" xfId="439" xr:uid="{E04EAD2D-A25D-4D3A-889F-83DCD072EC22}"/>
    <cellStyle name="Normal 6 2 9" xfId="440" xr:uid="{A289BC3F-4871-4A33-B060-F7C1C68F539F}"/>
    <cellStyle name="Normal 6 3" xfId="441" xr:uid="{5E7E89CF-7842-4EAC-AEE3-350556ED60AB}"/>
    <cellStyle name="Normal 6 4" xfId="442" xr:uid="{E726BA9B-B506-4805-9666-323A35DDEA64}"/>
    <cellStyle name="Normal 6 5" xfId="443" xr:uid="{D69E4211-D30B-4347-875E-5E0D8E573B6A}"/>
    <cellStyle name="Normal 6 6" xfId="444" xr:uid="{AB280F43-47A6-486C-B2AC-5AB99302B038}"/>
    <cellStyle name="Normal 6 7" xfId="445" xr:uid="{A2DF40F6-AEA9-4D14-9144-DA1BF85321B8}"/>
    <cellStyle name="Normal 6 8" xfId="446" xr:uid="{F40723B1-0473-44A1-BECF-553ED705949A}"/>
    <cellStyle name="Normal 6 9" xfId="447" xr:uid="{5DF45E8B-EF97-4520-A747-D75220E6BCD4}"/>
    <cellStyle name="Normal 7" xfId="448" xr:uid="{9980DBA5-49D7-4043-827F-32EE1F4FFD07}"/>
    <cellStyle name="Normal 7 2" xfId="449" xr:uid="{6C94220B-52FA-4641-9F4F-088772E79FF5}"/>
    <cellStyle name="Normal 7 2 2" xfId="450" xr:uid="{0E9109E9-7FEF-4722-8D93-9D572ADE46DD}"/>
    <cellStyle name="Normal 7 2 3" xfId="451" xr:uid="{8919868F-BC8A-49BB-A066-54A4135DB2FB}"/>
    <cellStyle name="Normal 7 2 4" xfId="452" xr:uid="{377CF7E1-1C73-4EB8-8998-6B18C307722B}"/>
    <cellStyle name="Normal 7 2 5" xfId="453" xr:uid="{9ACFAAA4-D68A-4BBD-AE84-D2594EBAEF33}"/>
    <cellStyle name="Normal 7 2 6" xfId="454" xr:uid="{2E95EAEC-15E6-4215-A2EF-1537C47A4917}"/>
    <cellStyle name="Normal 7 2 7" xfId="455" xr:uid="{B127F0B0-BFD1-4108-9031-C261315E9012}"/>
    <cellStyle name="Normal 7 2 8" xfId="456" xr:uid="{52B0CF49-9EB7-4484-AE56-B475F3C09442}"/>
    <cellStyle name="Normal 7 2 9" xfId="457" xr:uid="{6A17DB23-BF28-4E42-8185-5FADCB2C914B}"/>
    <cellStyle name="Normal 7 3" xfId="458" xr:uid="{ADF45536-AAB1-4DE9-99A1-B14D614A470F}"/>
    <cellStyle name="Normal 7 4" xfId="459" xr:uid="{073442FB-1E23-40FE-8BD5-6D0E6CC02536}"/>
    <cellStyle name="Normal 8" xfId="460" xr:uid="{A0B69F33-FE9D-4622-A465-845186C3E536}"/>
    <cellStyle name="Normal 9 2" xfId="461" xr:uid="{C00F6C0B-135D-4E86-8950-FE46DC9B0C0B}"/>
    <cellStyle name="Normal 9 3" xfId="462" xr:uid="{A465D716-5C9F-462B-B2EE-C4F6D61A9949}"/>
    <cellStyle name="Normal 9 4" xfId="463" xr:uid="{64EC4FC4-890D-460B-8C81-4C835670FD80}"/>
    <cellStyle name="Normal 9 5" xfId="464" xr:uid="{06F9F53A-03A2-4879-8D8E-CA40D6954028}"/>
    <cellStyle name="Note 10" xfId="260" xr:uid="{3B886737-8023-4AF4-8AC4-15538FCB6411}"/>
    <cellStyle name="Note 10 2" xfId="523" xr:uid="{B3974D81-17AD-45CC-BB1C-ABD679AF92C4}"/>
    <cellStyle name="Note 10 2 2" xfId="569" xr:uid="{35048FE2-9814-43E4-8A64-2FEFECCC9DA9}"/>
    <cellStyle name="Note 10 3" xfId="550" xr:uid="{A9391346-0238-4C92-BEE3-5497A5A6C6A7}"/>
    <cellStyle name="Note 11" xfId="261" xr:uid="{363517E1-C6A7-4CA1-9ADE-73DA0A64E71F}"/>
    <cellStyle name="Note 11 2" xfId="527" xr:uid="{603004B2-3B81-46D0-8C7C-1710B32AE2C0}"/>
    <cellStyle name="Note 11 2 2" xfId="573" xr:uid="{F3247A1F-99D5-47AB-B000-0DB46BC0AB1C}"/>
    <cellStyle name="Note 11 3" xfId="551" xr:uid="{5E35313A-207F-405E-BDB1-D62440DEAF37}"/>
    <cellStyle name="Note 12" xfId="262" xr:uid="{6E864AE9-4B38-44E1-82C4-B8676A628F62}"/>
    <cellStyle name="Note 12 2" xfId="528" xr:uid="{A9340BC1-9129-4EE0-A016-0893F9319875}"/>
    <cellStyle name="Note 12 2 2" xfId="574" xr:uid="{8E797426-B14E-4FDB-8CB0-5B113E8F5F9C}"/>
    <cellStyle name="Note 12 3" xfId="552" xr:uid="{91DC0BA7-97C3-48AA-BC9F-E4A14DD05B5F}"/>
    <cellStyle name="Note 13" xfId="263" xr:uid="{B290251D-BF7C-48DA-9E2F-01273D2B7BA1}"/>
    <cellStyle name="Note 13 2" xfId="529" xr:uid="{C9642F4B-7BE5-497E-88CC-2A95BCF4C6BD}"/>
    <cellStyle name="Note 13 2 2" xfId="575" xr:uid="{640AA7C6-7BD7-4EC7-9200-935DA6DFD9AE}"/>
    <cellStyle name="Note 13 3" xfId="553" xr:uid="{E7D31021-28FF-48D9-9621-D26DCBA6EA79}"/>
    <cellStyle name="Note 14" xfId="264" xr:uid="{B68C4977-E800-4E67-B60B-9C1B1A70147F}"/>
    <cellStyle name="Note 14 2" xfId="530" xr:uid="{5BE9992B-61E1-4C9B-AE6A-BB451A08C2FA}"/>
    <cellStyle name="Note 14 2 2" xfId="576" xr:uid="{6F45D290-E70D-4229-A52D-B40FDE278871}"/>
    <cellStyle name="Note 14 3" xfId="554" xr:uid="{DFCD8D94-7B48-4289-9AA6-6AA72C089E61}"/>
    <cellStyle name="Note 15" xfId="265" xr:uid="{2348482A-A620-482F-ACEA-2FC59F170AE7}"/>
    <cellStyle name="Note 16" xfId="266" xr:uid="{3A0B540C-902F-4F7D-919D-F0C61313B14F}"/>
    <cellStyle name="Note 16 2" xfId="531" xr:uid="{DCC4A477-01E7-43B8-8AF1-B2CA03F0CBD3}"/>
    <cellStyle name="Note 16 2 2" xfId="577" xr:uid="{8027BF59-FEBD-4997-B713-4A4C1259CA94}"/>
    <cellStyle name="Note 16 3" xfId="555" xr:uid="{B996CAF1-A1E3-4E35-B7EE-603DF563513E}"/>
    <cellStyle name="Note 2" xfId="267" xr:uid="{3FE162A8-0319-46A5-9B39-A2B9D031C1E4}"/>
    <cellStyle name="Note 2 2" xfId="532" xr:uid="{F03FABED-E5B9-4E49-977C-C323F6E29317}"/>
    <cellStyle name="Note 2 2 2" xfId="578" xr:uid="{2587BF1B-A994-4EC7-B85D-3C0FB5F17556}"/>
    <cellStyle name="Note 2 3" xfId="556" xr:uid="{C584460D-EBD5-48D1-9EAC-5736FE05CA78}"/>
    <cellStyle name="Note 3" xfId="268" xr:uid="{F71DC4EF-8B9D-4613-A3D0-EE03AA957884}"/>
    <cellStyle name="Note 3 2" xfId="533" xr:uid="{1DFFA7B0-C890-4C50-9804-DEFB345D6965}"/>
    <cellStyle name="Note 3 2 2" xfId="579" xr:uid="{37A732F8-C523-4D13-85FF-832BFF648DF3}"/>
    <cellStyle name="Note 3 3" xfId="557" xr:uid="{F8A6A502-14CA-40F0-BB2A-0BEE505C5927}"/>
    <cellStyle name="Note 4" xfId="269" xr:uid="{693EF8B0-9442-47C1-B032-5B8B627B8AD7}"/>
    <cellStyle name="Note 4 2" xfId="534" xr:uid="{48A5013E-CFA8-44AD-BAC6-0488696CF6B1}"/>
    <cellStyle name="Note 4 2 2" xfId="580" xr:uid="{6E9E0C45-B636-4813-B4D4-03A38EDEF69B}"/>
    <cellStyle name="Note 4 3" xfId="558" xr:uid="{8CD549A6-93E4-41E4-9F59-DDFBA1C2028A}"/>
    <cellStyle name="Note 5" xfId="270" xr:uid="{99CF41B9-1AFC-4080-BAB5-4D54B23D2E8A}"/>
    <cellStyle name="Note 5 2" xfId="535" xr:uid="{5C4EB585-8AA2-457C-9644-3F200B6B9333}"/>
    <cellStyle name="Note 5 2 2" xfId="581" xr:uid="{7F91A7E6-F295-4974-B94B-DF0032D5C320}"/>
    <cellStyle name="Note 5 3" xfId="559" xr:uid="{666DFC1B-227A-45E9-B46C-4F6FE176385C}"/>
    <cellStyle name="Note 6" xfId="271" xr:uid="{91BFEFAB-D694-4FEF-B679-D17CBBADED2E}"/>
    <cellStyle name="Note 6 2" xfId="2" xr:uid="{884464C6-1A71-42D9-B56D-170C8E7C2F01}"/>
    <cellStyle name="Note 6 2 2" xfId="545" xr:uid="{A718CF54-B50F-4FC4-97E9-96F3E04AB718}"/>
    <cellStyle name="Note 6 3" xfId="560" xr:uid="{B7F28B62-9D66-4C34-B41A-2417F4BF00D4}"/>
    <cellStyle name="Note 7" xfId="272" xr:uid="{B0CCCC22-CE91-425D-8CF3-8AFFD8E6A449}"/>
    <cellStyle name="Note 7 2" xfId="537" xr:uid="{188EE1FE-EDF0-4A51-A203-E60149E7FACB}"/>
    <cellStyle name="Note 7 2 2" xfId="583" xr:uid="{A3A5C633-91F3-4B51-8889-1C2A649D4483}"/>
    <cellStyle name="Note 7 3" xfId="561" xr:uid="{0EB565AE-3410-454E-BACA-FB74E7A82BF1}"/>
    <cellStyle name="Note 8" xfId="273" xr:uid="{0374835E-AEBE-4EAB-A0FA-AA81672367D0}"/>
    <cellStyle name="Note 8 2" xfId="538" xr:uid="{FCD03D83-0C4A-4672-95BD-761BF8307F68}"/>
    <cellStyle name="Note 8 2 2" xfId="584" xr:uid="{190EF96E-5B70-4683-9C29-037AEC53FD4C}"/>
    <cellStyle name="Note 8 3" xfId="562" xr:uid="{18F2E965-27CD-4DA4-AD95-988A86439D0E}"/>
    <cellStyle name="Note 9" xfId="274" xr:uid="{687CCDD2-1968-4356-ABDD-F2B104066E70}"/>
    <cellStyle name="Note 9 2" xfId="539" xr:uid="{3159B7EC-B7A2-4C37-8432-C0D0A68B508D}"/>
    <cellStyle name="Note 9 2 2" xfId="585" xr:uid="{99371319-F9CA-41A3-BE73-4AEDEE5AB502}"/>
    <cellStyle name="Note 9 3" xfId="563" xr:uid="{0F6C3385-B485-4F0C-96AD-0B1C8F32BDDF}"/>
    <cellStyle name="Output 2" xfId="275" xr:uid="{49102852-07CF-4BE2-87DC-A4BA5A86BE86}"/>
    <cellStyle name="Output 2 2" xfId="540" xr:uid="{77BCB6DE-4F7D-4C44-AFEC-565610FB5253}"/>
    <cellStyle name="Output 2 2 2" xfId="586" xr:uid="{B2F4CD57-299F-44AE-918A-F74874D3F99C}"/>
    <cellStyle name="Output 2 3" xfId="564" xr:uid="{4B956A3D-2B32-4499-95AC-DBFFF75EE701}"/>
    <cellStyle name="Output 3" xfId="276" xr:uid="{8CA68BFF-3760-4F79-9C39-57B453390715}"/>
    <cellStyle name="Output 4" xfId="277" xr:uid="{FD321940-6724-4765-AAD1-3708B28A1984}"/>
    <cellStyle name="Output 4 2" xfId="541" xr:uid="{2CF08298-6D65-4616-B2AD-BF2CA3468638}"/>
    <cellStyle name="Output 4 2 2" xfId="587" xr:uid="{A1B26142-B4FC-4A25-BB97-D1811CCD0DEB}"/>
    <cellStyle name="Output 4 3" xfId="565" xr:uid="{9330AB1C-79CA-49FE-8542-5B73EA319F24}"/>
    <cellStyle name="Percent" xfId="591" builtinId="5"/>
    <cellStyle name="Percent 10" xfId="466" xr:uid="{03A5ED2A-1952-4C70-8C8B-F8ED7529E6EC}"/>
    <cellStyle name="Percent 10 2" xfId="467" xr:uid="{F8640A06-65E1-4E69-B09D-CCA30BAA4583}"/>
    <cellStyle name="Percent 11" xfId="468" xr:uid="{1E1640E9-8677-4C87-A803-36D382E2E804}"/>
    <cellStyle name="Percent 12" xfId="469" xr:uid="{0942E7BD-B6C9-423E-9E06-F42EAF8FE2FE}"/>
    <cellStyle name="Percent 12 2" xfId="470" xr:uid="{5B29CD3F-2892-4817-AD2E-847902CD1D72}"/>
    <cellStyle name="Percent 13" xfId="471" xr:uid="{18C4F7EB-7160-4FAA-9521-0C7B5F9E1BC1}"/>
    <cellStyle name="Percent 14" xfId="472" xr:uid="{FB62CF8A-5843-4DEA-8840-A4BCDAB12CED}"/>
    <cellStyle name="Percent 15" xfId="473" xr:uid="{A58C2A5B-DC04-43E8-9644-50F0C135CF0E}"/>
    <cellStyle name="Percent 15 2" xfId="474" xr:uid="{A6938285-39DF-41AF-8EF8-B5D9FB0C85F1}"/>
    <cellStyle name="Percent 15 3" xfId="475" xr:uid="{BC2EDDE8-7878-4666-880D-30248EF91084}"/>
    <cellStyle name="Percent 15 3 2" xfId="476" xr:uid="{D0EC9D52-FF49-426F-B477-FB85793EC963}"/>
    <cellStyle name="Percent 16" xfId="477" xr:uid="{5B986EDD-B5AD-48AD-8AE1-57EDC8ECFC23}"/>
    <cellStyle name="Percent 17" xfId="478" xr:uid="{E2990CC5-16D1-4C3F-B55B-7F0B77F25017}"/>
    <cellStyle name="Percent 17 2" xfId="479" xr:uid="{698A5884-8D62-43A4-A26E-4010CA465591}"/>
    <cellStyle name="Percent 18" xfId="480" xr:uid="{D1A155B6-2269-4AB4-9D51-091E45A72430}"/>
    <cellStyle name="Percent 19" xfId="465" xr:uid="{DB2F7240-AC17-4285-A349-EA464B542F80}"/>
    <cellStyle name="Percent 2" xfId="278" xr:uid="{64E6D9E4-D73F-45F7-8BCB-0B8A3AF0675F}"/>
    <cellStyle name="Percent 2 2" xfId="481" xr:uid="{65AABF43-0E8D-4482-A080-2B80B0D95811}"/>
    <cellStyle name="Percent 2 3" xfId="482" xr:uid="{900D4DB9-62A9-4959-ADD7-D7C759E8DCBF}"/>
    <cellStyle name="Percent 2 4" xfId="483" xr:uid="{90B8478D-89D0-4A50-86EF-AF450FC21F53}"/>
    <cellStyle name="Percent 2 5" xfId="484" xr:uid="{1F7C7570-2D92-4E14-BBD7-546A61D6C0CE}"/>
    <cellStyle name="Percent 2 6" xfId="485" xr:uid="{5FD20DB3-04B9-4C92-866E-89D7E1BD1155}"/>
    <cellStyle name="Percent 2 7" xfId="486" xr:uid="{D2989A8A-19C7-48AC-9AF7-E20896ADA628}"/>
    <cellStyle name="Percent 2 8" xfId="487" xr:uid="{2F26385E-AEE8-4DC5-A0BF-B2C265396618}"/>
    <cellStyle name="Percent 2 9" xfId="488" xr:uid="{ED0FFFF9-38DD-4E46-AAE4-74C763B9AA43}"/>
    <cellStyle name="Percent 3" xfId="489" xr:uid="{712ECAF2-589F-47A3-B3A5-B419352E5A6F}"/>
    <cellStyle name="Percent 4" xfId="490" xr:uid="{E67ECB5F-EA8E-419B-898B-D156E74C4766}"/>
    <cellStyle name="Percent 4 2" xfId="491" xr:uid="{D3994722-7AEC-40D0-973D-EFFB26044453}"/>
    <cellStyle name="Percent 4 3" xfId="492" xr:uid="{C78CA2A9-A90D-4FD1-904F-AE3AE0D23335}"/>
    <cellStyle name="Percent 5" xfId="493" xr:uid="{14022432-8953-4DAC-A4C7-22F2A9C256DB}"/>
    <cellStyle name="Percent 5 2" xfId="494" xr:uid="{CD3FEE7C-D67A-494A-9FB0-D419C5C21F41}"/>
    <cellStyle name="Percent 5 2 2" xfId="495" xr:uid="{4DAE3BD3-D14E-4D1E-96BF-4AFE6FD2DA7A}"/>
    <cellStyle name="Percent 5 2 3" xfId="496" xr:uid="{EB7AABF3-15F1-4A71-A927-2239457F9F24}"/>
    <cellStyle name="Percent 5 2 4" xfId="497" xr:uid="{BCD0B343-8CE9-4D8E-AFB3-6B0D35E6962A}"/>
    <cellStyle name="Percent 5 2 5" xfId="498" xr:uid="{4956B7A6-3243-4183-84B7-C5B9E9A417DC}"/>
    <cellStyle name="Percent 5 3" xfId="499" xr:uid="{A954D214-60EA-4EFF-8F9C-E0D29A8CDF04}"/>
    <cellStyle name="Percent 5 4" xfId="500" xr:uid="{92C69CF4-B965-47E3-928B-E17879D89441}"/>
    <cellStyle name="Percent 5 5" xfId="501" xr:uid="{31620DC6-67F8-4BD7-BF55-F7EC71380245}"/>
    <cellStyle name="Percent 5 6" xfId="502" xr:uid="{551C2163-3565-421B-911E-9C6763F7B564}"/>
    <cellStyle name="Percent 5 7" xfId="503" xr:uid="{E4DA44B7-BCC4-46EA-9063-6466DC5A89A6}"/>
    <cellStyle name="Percent 5 8" xfId="504" xr:uid="{F4312F18-D9CB-4693-8275-989062D0F4C5}"/>
    <cellStyle name="Percent 6" xfId="505" xr:uid="{3ECB8DF9-3EBF-40BB-9A0A-B2970756F321}"/>
    <cellStyle name="Percent 6 2" xfId="506" xr:uid="{067BDDC1-A2D3-4AA2-828F-2199C2CB7D91}"/>
    <cellStyle name="Percent 6 3" xfId="507" xr:uid="{43A6C2F9-10CB-4556-85F4-D6D837A775BD}"/>
    <cellStyle name="Percent 6 4" xfId="508" xr:uid="{94667A41-943B-4937-A014-7F55833F5BEE}"/>
    <cellStyle name="Percent 6 5" xfId="509" xr:uid="{660859D4-EB76-493D-942C-5788A8D864A7}"/>
    <cellStyle name="Percent 6 6" xfId="510" xr:uid="{DDBDCE34-F850-449A-BECB-4D1CEDD13944}"/>
    <cellStyle name="Percent 7" xfId="511" xr:uid="{FC6BEAB7-E7C1-4DBA-8E15-4C1CFB918EE0}"/>
    <cellStyle name="Percent 7 2" xfId="512" xr:uid="{6714849B-5BA6-4136-AF51-84E5BA60F5EE}"/>
    <cellStyle name="Percent 7 3" xfId="513" xr:uid="{DFA3B46B-FB26-4BFB-BCFD-E22AEA5B6FDE}"/>
    <cellStyle name="Percent 7 4" xfId="514" xr:uid="{44FCD2C4-ED24-43C8-9C71-3191ADA9434D}"/>
    <cellStyle name="Percent 7 5" xfId="515" xr:uid="{6AE39923-2E75-41B1-9983-69993C8A2717}"/>
    <cellStyle name="Percent 8" xfId="516" xr:uid="{5853F4E2-A031-4F24-B6C0-6BABB545ADCB}"/>
    <cellStyle name="Percent 8 2" xfId="517" xr:uid="{F3AD20A3-6948-4D90-BC22-C5CF9FCDDC4B}"/>
    <cellStyle name="Percent 9" xfId="518" xr:uid="{B2BECC26-4D96-4943-A32D-CF30B58611B9}"/>
    <cellStyle name="Percent 9 2" xfId="519" xr:uid="{8E482407-0724-4E48-B244-51E3463B3CA7}"/>
    <cellStyle name="Title 2" xfId="279" xr:uid="{A70BF4B1-3E4F-42FA-B735-000113335369}"/>
    <cellStyle name="Title 2 2" xfId="520" xr:uid="{B10AF9CF-BF14-4DC6-ADF3-E19E5EE34E06}"/>
    <cellStyle name="Title 3" xfId="280" xr:uid="{9AE135B8-B092-45E4-A97E-554F00898630}"/>
    <cellStyle name="Title 4" xfId="281" xr:uid="{3FFB6AB0-A9CA-4217-A2E3-8A46C15ECEBB}"/>
    <cellStyle name="Total 2" xfId="282" xr:uid="{A68BD4C9-14CC-4462-8288-8A9573B1BE52}"/>
    <cellStyle name="Total 2 2" xfId="542" xr:uid="{1096D663-1158-49C3-8D49-79473D26702C}"/>
    <cellStyle name="Total 2 2 2" xfId="588" xr:uid="{2C221F8B-1BD1-4812-9E53-F784037762CD}"/>
    <cellStyle name="Total 2 3" xfId="566" xr:uid="{9ECD3466-A509-45D7-A492-7F2BFC2B4ACB}"/>
    <cellStyle name="Total 3" xfId="283" xr:uid="{0CDC198E-FB9A-42E8-9727-7952274A5820}"/>
    <cellStyle name="Total 4" xfId="284" xr:uid="{D2E56002-4550-4F4F-8D1D-F18AA72792A5}"/>
    <cellStyle name="Total 4 2" xfId="543" xr:uid="{4071297A-AC2B-4668-9929-7F960DBA5E0E}"/>
    <cellStyle name="Total 4 2 2" xfId="589" xr:uid="{3DDF8519-6834-4819-801A-50074B35FAC4}"/>
    <cellStyle name="Total 4 3" xfId="567" xr:uid="{C2E43F56-518F-47FD-A1C7-C82D3AAF9CB3}"/>
    <cellStyle name="Total 5" xfId="521" xr:uid="{87D383BA-266E-4EC1-B97D-D24DD4E0C63F}"/>
    <cellStyle name="Total 5 2" xfId="544" xr:uid="{60252B90-F44B-49D5-960C-B47BCE8C4839}"/>
    <cellStyle name="Total 5 2 2" xfId="590" xr:uid="{A8F99E3C-3374-4F8D-9B0C-4A2E0D8F9293}"/>
    <cellStyle name="Total 5 3" xfId="568" xr:uid="{242B0DF5-D2DD-444E-96E0-AAA39C730F53}"/>
    <cellStyle name="Warning Text 2" xfId="285" xr:uid="{28A74F01-CC63-4A96-8CFE-3724B7B61FAA}"/>
    <cellStyle name="Warning Text 3" xfId="286" xr:uid="{6E91E994-4750-4B46-8C6D-363BDF941C21}"/>
    <cellStyle name="Warning Text 4" xfId="287" xr:uid="{915543E1-D084-4D7F-B94F-00EF19B9C315}"/>
  </cellStyles>
  <dxfs count="641">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u/>
        <color theme="1"/>
      </font>
      <fill>
        <patternFill>
          <bgColor rgb="FFFFC000"/>
        </patternFill>
      </fill>
    </dxf>
    <dxf>
      <font>
        <b/>
        <i val="0"/>
        <color rgb="FFFF0000"/>
      </font>
      <fill>
        <patternFill patternType="none">
          <bgColor auto="1"/>
        </patternFill>
      </fill>
    </dxf>
    <dxf>
      <font>
        <b/>
        <i val="0"/>
        <color rgb="FFFF0000"/>
      </font>
      <fill>
        <patternFill patternType="none">
          <bgColor auto="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u/>
        <color theme="1"/>
      </font>
      <fill>
        <patternFill>
          <bgColor theme="5" tint="0.79998168889431442"/>
        </patternFill>
      </fill>
    </dxf>
    <dxf>
      <font>
        <color theme="0" tint="-0.14996795556505021"/>
      </font>
    </dxf>
    <dxf>
      <font>
        <b/>
        <i val="0"/>
        <u/>
        <color theme="1"/>
      </font>
      <fill>
        <patternFill>
          <bgColor theme="5" tint="0.79998168889431442"/>
        </patternFill>
      </fill>
    </dxf>
    <dxf>
      <font>
        <color theme="0" tint="-0.14996795556505021"/>
      </font>
    </dxf>
    <dxf>
      <font>
        <b/>
        <i val="0"/>
        <u/>
        <color theme="1"/>
      </font>
      <fill>
        <patternFill>
          <bgColor theme="5" tint="0.79998168889431442"/>
        </patternFill>
      </fill>
    </dxf>
    <dxf>
      <font>
        <color theme="0" tint="-0.14996795556505021"/>
      </font>
    </dxf>
    <dxf>
      <font>
        <b/>
        <i val="0"/>
        <u/>
        <color theme="1"/>
      </font>
      <fill>
        <patternFill>
          <bgColor theme="5" tint="0.79998168889431442"/>
        </patternFill>
      </fill>
    </dxf>
    <dxf>
      <font>
        <color theme="0" tint="-0.14996795556505021"/>
      </font>
    </dxf>
    <dxf>
      <font>
        <b/>
        <i val="0"/>
        <u/>
        <color theme="1"/>
      </font>
      <fill>
        <patternFill>
          <bgColor theme="5" tint="0.79998168889431442"/>
        </patternFill>
      </fill>
    </dxf>
    <dxf>
      <font>
        <color theme="0" tint="-0.14996795556505021"/>
      </font>
    </dxf>
    <dxf>
      <font>
        <b/>
        <i val="0"/>
        <u/>
        <color theme="1"/>
      </font>
      <fill>
        <patternFill>
          <bgColor theme="5" tint="0.79998168889431442"/>
        </patternFill>
      </fill>
    </dxf>
    <dxf>
      <font>
        <color theme="0" tint="-0.14996795556505021"/>
      </font>
    </dxf>
    <dxf>
      <font>
        <b/>
        <i val="0"/>
        <u/>
        <color theme="1"/>
      </font>
      <fill>
        <patternFill>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b/>
        <i val="0"/>
        <color theme="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b/>
        <i val="0"/>
        <color theme="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i val="0"/>
        <color theme="1"/>
      </font>
    </dxf>
    <dxf>
      <font>
        <color theme="0" tint="-0.14996795556505021"/>
      </font>
    </dxf>
    <dxf>
      <font>
        <color theme="0" tint="-0.14996795556505021"/>
      </font>
    </dxf>
    <dxf>
      <font>
        <color theme="0" tint="-0.14996795556505021"/>
      </font>
    </dxf>
    <dxf>
      <font>
        <color theme="0" tint="-0.14996795556505021"/>
      </font>
    </dxf>
    <dxf>
      <font>
        <b/>
        <i val="0"/>
        <color theme="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ont>
        <color theme="1"/>
      </font>
      <fill>
        <patternFill>
          <bgColor theme="9" tint="0.79998168889431442"/>
        </patternFill>
      </fill>
    </dxf>
    <dxf>
      <font>
        <b val="0"/>
        <i val="0"/>
      </font>
      <fill>
        <patternFill>
          <bgColor theme="9" tint="0.79998168889431442"/>
        </patternFill>
      </fill>
    </dxf>
    <dxf>
      <fill>
        <patternFill>
          <bgColor theme="9" tint="0.79998168889431442"/>
        </patternFill>
      </fill>
    </dxf>
    <dxf>
      <font>
        <b val="0"/>
        <i val="0"/>
      </font>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b/>
        <i val="0"/>
        <color theme="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b/>
        <i val="0"/>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dxf>
    <dxf>
      <font>
        <color theme="1"/>
      </font>
    </dxf>
    <dxf>
      <font>
        <color theme="1"/>
      </font>
    </dxf>
    <dxf>
      <font>
        <color theme="1"/>
      </font>
    </dxf>
    <dxf>
      <font>
        <color theme="0" tint="-0.14996795556505021"/>
      </font>
      <fill>
        <patternFill patternType="none">
          <bgColor auto="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4.9989318521683403E-2"/>
      </font>
    </dxf>
    <dxf>
      <font>
        <color theme="0" tint="-0.14996795556505021"/>
      </font>
    </dxf>
    <dxf>
      <font>
        <color theme="0" tint="-0.14996795556505021"/>
      </font>
    </dxf>
    <dxf>
      <font>
        <b/>
        <i val="0"/>
        <color auto="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24994659260841701"/>
      </font>
    </dxf>
    <dxf>
      <font>
        <b val="0"/>
        <i val="0"/>
        <color theme="0" tint="-0.24994659260841701"/>
      </font>
    </dxf>
    <dxf>
      <font>
        <color theme="0" tint="-0.14996795556505021"/>
      </font>
    </dxf>
    <dxf>
      <font>
        <color theme="0" tint="-0.1499679555650502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dxf>
    <dxf>
      <font>
        <color theme="0" tint="-0.14996795556505021"/>
      </font>
    </dxf>
    <dxf>
      <font>
        <color theme="0" tint="-0.14996795556505021"/>
      </font>
    </dxf>
    <dxf>
      <font>
        <b val="0"/>
        <i val="0"/>
        <color theme="1"/>
      </font>
    </dxf>
    <dxf>
      <font>
        <b val="0"/>
        <i val="0"/>
        <color theme="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fill>
        <patternFill patternType="none">
          <bgColor auto="1"/>
        </patternFill>
      </fill>
    </dxf>
    <dxf>
      <font>
        <color theme="0" tint="-0.1499679555650502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font>
    </dxf>
    <dxf>
      <font>
        <b/>
        <i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24994659260841701"/>
      </font>
    </dxf>
    <dxf>
      <font>
        <b val="0"/>
        <i val="0"/>
        <color theme="0" tint="-0.24994659260841701"/>
      </font>
    </dxf>
    <dxf>
      <font>
        <b val="0"/>
        <i val="0"/>
        <color theme="0" tint="-0.24994659260841701"/>
      </font>
    </dxf>
    <dxf>
      <font>
        <color theme="0" tint="-0.14996795556505021"/>
      </font>
    </dxf>
    <dxf>
      <font>
        <b val="0"/>
        <i val="0"/>
        <color theme="0" tint="-0.24994659260841701"/>
      </font>
    </dxf>
    <dxf>
      <font>
        <b/>
        <i val="0"/>
      </font>
    </dxf>
    <dxf>
      <font>
        <color theme="0" tint="-0.14996795556505021"/>
      </font>
    </dxf>
    <dxf>
      <font>
        <b val="0"/>
        <i val="0"/>
        <color theme="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28"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MilestoneGraphs_Calc!$H$9</c:f>
              <c:strCache>
                <c:ptCount val="1"/>
                <c:pt idx="0">
                  <c:v>Low</c:v>
                </c:pt>
              </c:strCache>
            </c:strRef>
          </c:tx>
          <c:spPr>
            <a:solidFill>
              <a:schemeClr val="accent2">
                <a:lumMod val="20000"/>
                <a:lumOff val="80000"/>
              </a:schemeClr>
            </a:solidFill>
            <a:ln>
              <a:noFill/>
            </a:ln>
            <a:effectLst/>
          </c:spPr>
          <c:invertIfNegative val="0"/>
          <c:dPt>
            <c:idx val="0"/>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1-4F87-4929-B365-A2EE9F1F3D33}"/>
              </c:ext>
            </c:extLst>
          </c:dPt>
          <c:val>
            <c:numRef>
              <c:f>MilestoneGraphs_Calc!$I$9</c:f>
              <c:numCache>
                <c:formatCode>General</c:formatCode>
                <c:ptCount val="1"/>
                <c:pt idx="0">
                  <c:v>2</c:v>
                </c:pt>
              </c:numCache>
            </c:numRef>
          </c:val>
          <c:extLst>
            <c:ext xmlns:c16="http://schemas.microsoft.com/office/drawing/2014/chart" uri="{C3380CC4-5D6E-409C-BE32-E72D297353CC}">
              <c16:uniqueId val="{00000002-4F87-4929-B365-A2EE9F1F3D33}"/>
            </c:ext>
          </c:extLst>
        </c:ser>
        <c:ser>
          <c:idx val="1"/>
          <c:order val="1"/>
          <c:tx>
            <c:strRef>
              <c:f>MilestoneGraphs_Calc!$H$10</c:f>
              <c:strCache>
                <c:ptCount val="1"/>
                <c:pt idx="0">
                  <c:v>Medium</c:v>
                </c:pt>
              </c:strCache>
            </c:strRef>
          </c:tx>
          <c:spPr>
            <a:solidFill>
              <a:srgbClr val="FFFF00"/>
            </a:solidFill>
            <a:ln>
              <a:noFill/>
            </a:ln>
            <a:effectLst/>
          </c:spPr>
          <c:invertIfNegative val="0"/>
          <c:dPt>
            <c:idx val="0"/>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3-6F9C-43FF-9705-F0F791A35035}"/>
              </c:ext>
            </c:extLst>
          </c:dPt>
          <c:val>
            <c:numRef>
              <c:f>MilestoneGraphs_Calc!$I$10</c:f>
              <c:numCache>
                <c:formatCode>General</c:formatCode>
                <c:ptCount val="1"/>
                <c:pt idx="0">
                  <c:v>2</c:v>
                </c:pt>
              </c:numCache>
            </c:numRef>
          </c:val>
          <c:extLst>
            <c:ext xmlns:c16="http://schemas.microsoft.com/office/drawing/2014/chart" uri="{C3380CC4-5D6E-409C-BE32-E72D297353CC}">
              <c16:uniqueId val="{00000003-4F87-4929-B365-A2EE9F1F3D33}"/>
            </c:ext>
          </c:extLst>
        </c:ser>
        <c:ser>
          <c:idx val="2"/>
          <c:order val="2"/>
          <c:tx>
            <c:strRef>
              <c:f>MilestoneGraphs_Calc!$H$11</c:f>
              <c:strCache>
                <c:ptCount val="1"/>
                <c:pt idx="0">
                  <c:v>Max</c:v>
                </c:pt>
              </c:strCache>
            </c:strRef>
          </c:tx>
          <c:spPr>
            <a:solidFill>
              <a:srgbClr val="92D050"/>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2-6F9C-43FF-9705-F0F791A35035}"/>
              </c:ext>
            </c:extLst>
          </c:dPt>
          <c:val>
            <c:numRef>
              <c:f>MilestoneGraphs_Calc!$I$11</c:f>
              <c:numCache>
                <c:formatCode>General</c:formatCode>
                <c:ptCount val="1"/>
                <c:pt idx="0">
                  <c:v>1</c:v>
                </c:pt>
              </c:numCache>
            </c:numRef>
          </c:val>
          <c:extLst>
            <c:ext xmlns:c16="http://schemas.microsoft.com/office/drawing/2014/chart" uri="{C3380CC4-5D6E-409C-BE32-E72D297353CC}">
              <c16:uniqueId val="{00000004-4F87-4929-B365-A2EE9F1F3D33}"/>
            </c:ext>
          </c:extLst>
        </c:ser>
        <c:dLbls>
          <c:showLegendKey val="0"/>
          <c:showVal val="0"/>
          <c:showCatName val="0"/>
          <c:showSerName val="0"/>
          <c:showPercent val="0"/>
          <c:showBubbleSize val="0"/>
        </c:dLbls>
        <c:gapWidth val="50"/>
        <c:overlap val="100"/>
        <c:axId val="532608976"/>
        <c:axId val="532599856"/>
      </c:barChart>
      <c:barChart>
        <c:barDir val="col"/>
        <c:grouping val="clustered"/>
        <c:varyColors val="0"/>
        <c:ser>
          <c:idx val="4"/>
          <c:order val="4"/>
          <c:tx>
            <c:strRef>
              <c:f>MilestoneGraphs_Calc!$F$9</c:f>
              <c:strCache>
                <c:ptCount val="1"/>
                <c:pt idx="0">
                  <c:v>Milestone 6: Ongoing Implementation </c:v>
                </c:pt>
              </c:strCache>
            </c:strRef>
          </c:tx>
          <c:spPr>
            <a:solidFill>
              <a:srgbClr val="92D050"/>
            </a:solidFill>
            <a:ln>
              <a:solidFill>
                <a:schemeClr val="tx1"/>
              </a:solidFill>
            </a:ln>
            <a:effectLst/>
          </c:spPr>
          <c:invertIfNegative val="0"/>
          <c:val>
            <c:numRef>
              <c:f>MilestoneGraphs_Calc!$G$9</c:f>
              <c:numCache>
                <c:formatCode>0</c:formatCode>
                <c:ptCount val="1"/>
                <c:pt idx="0">
                  <c:v>0</c:v>
                </c:pt>
              </c:numCache>
            </c:numRef>
          </c:val>
          <c:extLst>
            <c:ext xmlns:c16="http://schemas.microsoft.com/office/drawing/2014/chart" uri="{C3380CC4-5D6E-409C-BE32-E72D297353CC}">
              <c16:uniqueId val="{00000005-4F87-4929-B365-A2EE9F1F3D33}"/>
            </c:ext>
          </c:extLst>
        </c:ser>
        <c:dLbls>
          <c:showLegendKey val="0"/>
          <c:showVal val="0"/>
          <c:showCatName val="0"/>
          <c:showSerName val="0"/>
          <c:showPercent val="0"/>
          <c:showBubbleSize val="0"/>
        </c:dLbls>
        <c:gapWidth val="300"/>
        <c:axId val="240161792"/>
        <c:axId val="240145472"/>
      </c:barChart>
      <c:lineChart>
        <c:grouping val="standard"/>
        <c:varyColors val="0"/>
        <c:ser>
          <c:idx val="3"/>
          <c:order val="3"/>
          <c:tx>
            <c:strRef>
              <c:f>MilestoneGraphs_Calc!$J$9</c:f>
              <c:strCache>
                <c:ptCount val="1"/>
                <c:pt idx="0">
                  <c:v>Target</c:v>
                </c:pt>
              </c:strCache>
            </c:strRef>
          </c:tx>
          <c:spPr>
            <a:ln w="28575" cap="rnd">
              <a:noFill/>
              <a:round/>
            </a:ln>
            <a:effectLst/>
          </c:spPr>
          <c:marker>
            <c:symbol val="dash"/>
            <c:size val="25"/>
            <c:spPr>
              <a:solidFill>
                <a:schemeClr val="tx1"/>
              </a:solidFill>
              <a:ln w="9525">
                <a:noFill/>
              </a:ln>
              <a:effectLst/>
            </c:spPr>
          </c:marker>
          <c:dPt>
            <c:idx val="0"/>
            <c:marker>
              <c:symbol val="dash"/>
              <c:size val="25"/>
              <c:spPr>
                <a:noFill/>
                <a:ln w="9525">
                  <a:noFill/>
                </a:ln>
                <a:effectLst/>
              </c:spPr>
            </c:marker>
            <c:bubble3D val="0"/>
            <c:spPr>
              <a:ln w="28575" cap="rnd">
                <a:noFill/>
                <a:round/>
              </a:ln>
              <a:effectLst/>
            </c:spPr>
            <c:extLst>
              <c:ext xmlns:c16="http://schemas.microsoft.com/office/drawing/2014/chart" uri="{C3380CC4-5D6E-409C-BE32-E72D297353CC}">
                <c16:uniqueId val="{00000006-A614-44DB-9C23-B86789E2F56D}"/>
              </c:ext>
            </c:extLst>
          </c:dPt>
          <c:val>
            <c:numRef>
              <c:f>MilestoneGraphs_Calc!$K$9</c:f>
              <c:numCache>
                <c:formatCode>General</c:formatCode>
                <c:ptCount val="1"/>
                <c:pt idx="0">
                  <c:v>3</c:v>
                </c:pt>
              </c:numCache>
            </c:numRef>
          </c:val>
          <c:smooth val="0"/>
          <c:extLst>
            <c:ext xmlns:c16="http://schemas.microsoft.com/office/drawing/2014/chart" uri="{C3380CC4-5D6E-409C-BE32-E72D297353CC}">
              <c16:uniqueId val="{00000006-4F87-4929-B365-A2EE9F1F3D33}"/>
            </c:ext>
          </c:extLst>
        </c:ser>
        <c:dLbls>
          <c:showLegendKey val="0"/>
          <c:showVal val="0"/>
          <c:showCatName val="0"/>
          <c:showSerName val="0"/>
          <c:showPercent val="0"/>
          <c:showBubbleSize val="0"/>
        </c:dLbls>
        <c:marker val="1"/>
        <c:smooth val="0"/>
        <c:axId val="532608976"/>
        <c:axId val="532599856"/>
      </c:lineChart>
      <c:catAx>
        <c:axId val="532608976"/>
        <c:scaling>
          <c:orientation val="minMax"/>
        </c:scaling>
        <c:delete val="1"/>
        <c:axPos val="b"/>
        <c:numFmt formatCode="General" sourceLinked="1"/>
        <c:majorTickMark val="none"/>
        <c:minorTickMark val="none"/>
        <c:tickLblPos val="nextTo"/>
        <c:crossAx val="532599856"/>
        <c:crosses val="autoZero"/>
        <c:auto val="1"/>
        <c:lblAlgn val="ctr"/>
        <c:lblOffset val="100"/>
        <c:noMultiLvlLbl val="0"/>
      </c:catAx>
      <c:valAx>
        <c:axId val="532599856"/>
        <c:scaling>
          <c:orientation val="minMax"/>
          <c:max val="5"/>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Work Sans" pitchFamily="2" charset="0"/>
                <a:ea typeface="+mn-ea"/>
                <a:cs typeface="+mn-cs"/>
              </a:defRPr>
            </a:pPr>
            <a:endParaRPr lang="en-US"/>
          </a:p>
        </c:txPr>
        <c:crossAx val="532608976"/>
        <c:crosses val="autoZero"/>
        <c:crossBetween val="between"/>
        <c:majorUnit val="1"/>
        <c:minorUnit val="0.5"/>
      </c:valAx>
      <c:valAx>
        <c:axId val="240145472"/>
        <c:scaling>
          <c:orientation val="minMax"/>
        </c:scaling>
        <c:delete val="1"/>
        <c:axPos val="r"/>
        <c:numFmt formatCode="0" sourceLinked="1"/>
        <c:majorTickMark val="out"/>
        <c:minorTickMark val="none"/>
        <c:tickLblPos val="nextTo"/>
        <c:crossAx val="240161792"/>
        <c:crosses val="max"/>
        <c:crossBetween val="between"/>
      </c:valAx>
      <c:catAx>
        <c:axId val="240161792"/>
        <c:scaling>
          <c:orientation val="minMax"/>
        </c:scaling>
        <c:delete val="1"/>
        <c:axPos val="b"/>
        <c:majorTickMark val="out"/>
        <c:minorTickMark val="none"/>
        <c:tickLblPos val="nextTo"/>
        <c:crossAx val="2401454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4469056286443334E-2"/>
          <c:w val="0.91226394687241275"/>
          <c:h val="0.85554694017656097"/>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1-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5</c:v>
                </c:pt>
                <c:pt idx="1">
                  <c:v>5</c:v>
                </c:pt>
                <c:pt idx="2">
                  <c:v>10</c:v>
                </c:pt>
                <c:pt idx="3">
                  <c:v>10</c:v>
                </c:pt>
                <c:pt idx="4">
                  <c:v>5</c:v>
                </c:pt>
              </c:numCache>
            </c:numRef>
          </c:val>
          <c:extLst>
            <c:ext xmlns:c16="http://schemas.microsoft.com/office/drawing/2014/chart" uri="{C3380CC4-5D6E-409C-BE32-E72D297353CC}">
              <c16:uniqueId val="{00000002-9C01-40C2-AF91-A00D35F69326}"/>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4-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5</c:v>
                </c:pt>
                <c:pt idx="1">
                  <c:v>5</c:v>
                </c:pt>
                <c:pt idx="2">
                  <c:v>8</c:v>
                </c:pt>
                <c:pt idx="3">
                  <c:v>8</c:v>
                </c:pt>
                <c:pt idx="4">
                  <c:v>5</c:v>
                </c:pt>
              </c:numCache>
            </c:numRef>
          </c:val>
          <c:extLst>
            <c:ext xmlns:c16="http://schemas.microsoft.com/office/drawing/2014/chart" uri="{C3380CC4-5D6E-409C-BE32-E72D297353CC}">
              <c16:uniqueId val="{00000005-9C01-40C2-AF91-A00D35F69326}"/>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07-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5</c:v>
                </c:pt>
                <c:pt idx="1">
                  <c:v>5</c:v>
                </c:pt>
                <c:pt idx="2">
                  <c:v>7</c:v>
                </c:pt>
                <c:pt idx="3">
                  <c:v>7</c:v>
                </c:pt>
                <c:pt idx="4">
                  <c:v>5</c:v>
                </c:pt>
              </c:numCache>
            </c:numRef>
          </c:val>
          <c:extLst>
            <c:ext xmlns:c16="http://schemas.microsoft.com/office/drawing/2014/chart" uri="{C3380CC4-5D6E-409C-BE32-E72D297353CC}">
              <c16:uniqueId val="{00000008-9C01-40C2-AF91-A00D35F69326}"/>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solidFill>
              <a:ln w="12700" cap="flat" cmpd="sng" algn="ctr">
                <a:solidFill>
                  <a:schemeClr val="tx1"/>
                </a:solidFill>
                <a:round/>
              </a:ln>
              <a:effectLst/>
            </c:spPr>
            <c:extLst>
              <c:ext xmlns:c16="http://schemas.microsoft.com/office/drawing/2014/chart" uri="{C3380CC4-5D6E-409C-BE32-E72D297353CC}">
                <c16:uniqueId val="{0000000A-9C01-40C2-AF91-A00D35F69326}"/>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9C01-40C2-AF91-A00D35F69326}"/>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0"/>
            <c:marker>
              <c:symbol val="dash"/>
              <c:size val="22"/>
              <c:spPr>
                <a:noFill/>
                <a:ln w="9525" cap="flat" cmpd="sng" algn="ctr">
                  <a:noFill/>
                  <a:round/>
                </a:ln>
                <a:effectLst/>
              </c:spPr>
            </c:marker>
            <c:bubble3D val="0"/>
            <c:extLst>
              <c:ext xmlns:c16="http://schemas.microsoft.com/office/drawing/2014/chart" uri="{C3380CC4-5D6E-409C-BE32-E72D297353CC}">
                <c16:uniqueId val="{0000000C-9C01-40C2-AF91-A00D35F69326}"/>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7</c:v>
                </c:pt>
                <c:pt idx="1">
                  <c:v>7</c:v>
                </c:pt>
                <c:pt idx="2">
                  <c:v>12</c:v>
                </c:pt>
                <c:pt idx="3">
                  <c:v>12</c:v>
                </c:pt>
                <c:pt idx="4">
                  <c:v>7</c:v>
                </c:pt>
              </c:numCache>
            </c:numRef>
          </c:yVal>
          <c:smooth val="0"/>
          <c:extLst>
            <c:ext xmlns:c16="http://schemas.microsoft.com/office/drawing/2014/chart" uri="{C3380CC4-5D6E-409C-BE32-E72D297353CC}">
              <c16:uniqueId val="{0000000D-9C01-40C2-AF91-A00D35F69326}"/>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3.7433057996424067E-2"/>
          <c:w val="0.91226394687241275"/>
          <c:h val="0.8625827739426039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8649-43EE-B9AF-C0B3E657DF38}"/>
              </c:ext>
            </c:extLst>
          </c:dPt>
          <c:dPt>
            <c:idx val="1"/>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10-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5</c:v>
                </c:pt>
                <c:pt idx="1">
                  <c:v>5</c:v>
                </c:pt>
                <c:pt idx="2">
                  <c:v>10</c:v>
                </c:pt>
                <c:pt idx="3">
                  <c:v>10</c:v>
                </c:pt>
                <c:pt idx="4">
                  <c:v>5</c:v>
                </c:pt>
              </c:numCache>
            </c:numRef>
          </c:val>
          <c:extLst>
            <c:ext xmlns:c16="http://schemas.microsoft.com/office/drawing/2014/chart" uri="{C3380CC4-5D6E-409C-BE32-E72D297353CC}">
              <c16:uniqueId val="{00000002-8649-43EE-B9AF-C0B3E657DF38}"/>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8649-43EE-B9AF-C0B3E657DF38}"/>
              </c:ext>
            </c:extLst>
          </c:dPt>
          <c:dPt>
            <c:idx val="1"/>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F-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5</c:v>
                </c:pt>
                <c:pt idx="1">
                  <c:v>5</c:v>
                </c:pt>
                <c:pt idx="2">
                  <c:v>8</c:v>
                </c:pt>
                <c:pt idx="3">
                  <c:v>8</c:v>
                </c:pt>
                <c:pt idx="4">
                  <c:v>5</c:v>
                </c:pt>
              </c:numCache>
            </c:numRef>
          </c:val>
          <c:extLst>
            <c:ext xmlns:c16="http://schemas.microsoft.com/office/drawing/2014/chart" uri="{C3380CC4-5D6E-409C-BE32-E72D297353CC}">
              <c16:uniqueId val="{00000005-8649-43EE-B9AF-C0B3E657DF38}"/>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8649-43EE-B9AF-C0B3E657DF38}"/>
              </c:ext>
            </c:extLst>
          </c:dPt>
          <c:dPt>
            <c:idx val="1"/>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11-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5</c:v>
                </c:pt>
                <c:pt idx="1">
                  <c:v>5</c:v>
                </c:pt>
                <c:pt idx="2">
                  <c:v>7</c:v>
                </c:pt>
                <c:pt idx="3">
                  <c:v>7</c:v>
                </c:pt>
                <c:pt idx="4">
                  <c:v>5</c:v>
                </c:pt>
              </c:numCache>
            </c:numRef>
          </c:val>
          <c:extLst>
            <c:ext xmlns:c16="http://schemas.microsoft.com/office/drawing/2014/chart" uri="{C3380CC4-5D6E-409C-BE32-E72D297353CC}">
              <c16:uniqueId val="{00000008-8649-43EE-B9AF-C0B3E657DF38}"/>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8649-43EE-B9AF-C0B3E657DF38}"/>
              </c:ext>
            </c:extLst>
          </c:dPt>
          <c:dPt>
            <c:idx val="1"/>
            <c:invertIfNegative val="0"/>
            <c:bubble3D val="0"/>
            <c:spPr>
              <a:solidFill>
                <a:srgbClr val="92D050"/>
              </a:solidFill>
              <a:ln w="9525" cap="flat" cmpd="sng" algn="ctr">
                <a:solidFill>
                  <a:schemeClr val="tx1"/>
                </a:solidFill>
                <a:round/>
              </a:ln>
              <a:effectLst/>
            </c:spPr>
            <c:extLst>
              <c:ext xmlns:c16="http://schemas.microsoft.com/office/drawing/2014/chart" uri="{C3380CC4-5D6E-409C-BE32-E72D297353CC}">
                <c16:uniqueId val="{0000000D-8649-43EE-B9AF-C0B3E657DF38}"/>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8649-43EE-B9AF-C0B3E657DF38}"/>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1"/>
            <c:marker>
              <c:symbol val="dash"/>
              <c:size val="22"/>
              <c:spPr>
                <a:noFill/>
                <a:ln w="9525" cap="flat" cmpd="sng" algn="ctr">
                  <a:noFill/>
                  <a:round/>
                </a:ln>
                <a:effectLst/>
              </c:spPr>
            </c:marker>
            <c:bubble3D val="0"/>
            <c:extLst>
              <c:ext xmlns:c16="http://schemas.microsoft.com/office/drawing/2014/chart" uri="{C3380CC4-5D6E-409C-BE32-E72D297353CC}">
                <c16:uniqueId val="{0000000E-8649-43EE-B9AF-C0B3E657DF38}"/>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7</c:v>
                </c:pt>
                <c:pt idx="1">
                  <c:v>7</c:v>
                </c:pt>
                <c:pt idx="2">
                  <c:v>12</c:v>
                </c:pt>
                <c:pt idx="3">
                  <c:v>12</c:v>
                </c:pt>
                <c:pt idx="4">
                  <c:v>7</c:v>
                </c:pt>
              </c:numCache>
            </c:numRef>
          </c:yVal>
          <c:smooth val="0"/>
          <c:extLst>
            <c:ext xmlns:c16="http://schemas.microsoft.com/office/drawing/2014/chart" uri="{C3380CC4-5D6E-409C-BE32-E72D297353CC}">
              <c16:uniqueId val="{0000000C-8649-43EE-B9AF-C0B3E657DF38}"/>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ED19-40C0-8A73-E2051B5858B3}"/>
              </c:ext>
            </c:extLst>
          </c:dPt>
          <c:dPt>
            <c:idx val="2"/>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F-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5</c:v>
                </c:pt>
                <c:pt idx="1">
                  <c:v>5</c:v>
                </c:pt>
                <c:pt idx="2">
                  <c:v>10</c:v>
                </c:pt>
                <c:pt idx="3">
                  <c:v>10</c:v>
                </c:pt>
                <c:pt idx="4">
                  <c:v>5</c:v>
                </c:pt>
              </c:numCache>
            </c:numRef>
          </c:val>
          <c:extLst>
            <c:ext xmlns:c16="http://schemas.microsoft.com/office/drawing/2014/chart" uri="{C3380CC4-5D6E-409C-BE32-E72D297353CC}">
              <c16:uniqueId val="{00000002-ED19-40C0-8A73-E2051B5858B3}"/>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ED19-40C0-8A73-E2051B5858B3}"/>
              </c:ext>
            </c:extLst>
          </c:dPt>
          <c:dPt>
            <c:idx val="2"/>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10-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5</c:v>
                </c:pt>
                <c:pt idx="1">
                  <c:v>5</c:v>
                </c:pt>
                <c:pt idx="2">
                  <c:v>8</c:v>
                </c:pt>
                <c:pt idx="3">
                  <c:v>8</c:v>
                </c:pt>
                <c:pt idx="4">
                  <c:v>5</c:v>
                </c:pt>
              </c:numCache>
            </c:numRef>
          </c:val>
          <c:extLst>
            <c:ext xmlns:c16="http://schemas.microsoft.com/office/drawing/2014/chart" uri="{C3380CC4-5D6E-409C-BE32-E72D297353CC}">
              <c16:uniqueId val="{00000005-ED19-40C0-8A73-E2051B5858B3}"/>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ED19-40C0-8A73-E2051B5858B3}"/>
              </c:ext>
            </c:extLst>
          </c:dPt>
          <c:dPt>
            <c:idx val="2"/>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11-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5</c:v>
                </c:pt>
                <c:pt idx="1">
                  <c:v>5</c:v>
                </c:pt>
                <c:pt idx="2">
                  <c:v>7</c:v>
                </c:pt>
                <c:pt idx="3">
                  <c:v>7</c:v>
                </c:pt>
                <c:pt idx="4">
                  <c:v>5</c:v>
                </c:pt>
              </c:numCache>
            </c:numRef>
          </c:val>
          <c:extLst>
            <c:ext xmlns:c16="http://schemas.microsoft.com/office/drawing/2014/chart" uri="{C3380CC4-5D6E-409C-BE32-E72D297353CC}">
              <c16:uniqueId val="{00000008-ED19-40C0-8A73-E2051B5858B3}"/>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ED19-40C0-8A73-E2051B5858B3}"/>
              </c:ext>
            </c:extLst>
          </c:dPt>
          <c:dPt>
            <c:idx val="2"/>
            <c:invertIfNegative val="0"/>
            <c:bubble3D val="0"/>
            <c:spPr>
              <a:solidFill>
                <a:srgbClr val="92D050"/>
              </a:solidFill>
              <a:ln w="9525" cap="flat" cmpd="sng" algn="ctr">
                <a:solidFill>
                  <a:schemeClr val="tx1"/>
                </a:solidFill>
                <a:round/>
              </a:ln>
              <a:effectLst/>
            </c:spPr>
            <c:extLst>
              <c:ext xmlns:c16="http://schemas.microsoft.com/office/drawing/2014/chart" uri="{C3380CC4-5D6E-409C-BE32-E72D297353CC}">
                <c16:uniqueId val="{0000000E-ED19-40C0-8A73-E2051B5858B3}"/>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ED19-40C0-8A73-E2051B5858B3}"/>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2"/>
            <c:marker>
              <c:symbol val="dash"/>
              <c:size val="22"/>
              <c:spPr>
                <a:noFill/>
                <a:ln w="9525" cap="flat" cmpd="sng" algn="ctr">
                  <a:noFill/>
                  <a:round/>
                </a:ln>
                <a:effectLst/>
              </c:spPr>
            </c:marker>
            <c:bubble3D val="0"/>
            <c:extLst>
              <c:ext xmlns:c16="http://schemas.microsoft.com/office/drawing/2014/chart" uri="{C3380CC4-5D6E-409C-BE32-E72D297353CC}">
                <c16:uniqueId val="{0000000D-ED19-40C0-8A73-E2051B5858B3}"/>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7</c:v>
                </c:pt>
                <c:pt idx="1">
                  <c:v>7</c:v>
                </c:pt>
                <c:pt idx="2">
                  <c:v>12</c:v>
                </c:pt>
                <c:pt idx="3">
                  <c:v>12</c:v>
                </c:pt>
                <c:pt idx="4">
                  <c:v>7</c:v>
                </c:pt>
              </c:numCache>
            </c:numRef>
          </c:yVal>
          <c:smooth val="0"/>
          <c:extLst>
            <c:ext xmlns:c16="http://schemas.microsoft.com/office/drawing/2014/chart" uri="{C3380CC4-5D6E-409C-BE32-E72D297353CC}">
              <c16:uniqueId val="{0000000C-ED19-40C0-8A73-E2051B5858B3}"/>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237A-4920-93EB-8F25DCE409CF}"/>
              </c:ext>
            </c:extLst>
          </c:dPt>
          <c:dPt>
            <c:idx val="3"/>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E-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5</c:v>
                </c:pt>
                <c:pt idx="1">
                  <c:v>5</c:v>
                </c:pt>
                <c:pt idx="2">
                  <c:v>10</c:v>
                </c:pt>
                <c:pt idx="3">
                  <c:v>10</c:v>
                </c:pt>
                <c:pt idx="4">
                  <c:v>5</c:v>
                </c:pt>
              </c:numCache>
            </c:numRef>
          </c:val>
          <c:extLst>
            <c:ext xmlns:c16="http://schemas.microsoft.com/office/drawing/2014/chart" uri="{C3380CC4-5D6E-409C-BE32-E72D297353CC}">
              <c16:uniqueId val="{00000002-237A-4920-93EB-8F25DCE409CF}"/>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237A-4920-93EB-8F25DCE409CF}"/>
              </c:ext>
            </c:extLst>
          </c:dPt>
          <c:dPt>
            <c:idx val="3"/>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F-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5</c:v>
                </c:pt>
                <c:pt idx="1">
                  <c:v>5</c:v>
                </c:pt>
                <c:pt idx="2">
                  <c:v>8</c:v>
                </c:pt>
                <c:pt idx="3">
                  <c:v>8</c:v>
                </c:pt>
                <c:pt idx="4">
                  <c:v>5</c:v>
                </c:pt>
              </c:numCache>
            </c:numRef>
          </c:val>
          <c:extLst>
            <c:ext xmlns:c16="http://schemas.microsoft.com/office/drawing/2014/chart" uri="{C3380CC4-5D6E-409C-BE32-E72D297353CC}">
              <c16:uniqueId val="{00000005-237A-4920-93EB-8F25DCE409CF}"/>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237A-4920-93EB-8F25DCE409CF}"/>
              </c:ext>
            </c:extLst>
          </c:dPt>
          <c:dPt>
            <c:idx val="3"/>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10-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5</c:v>
                </c:pt>
                <c:pt idx="1">
                  <c:v>5</c:v>
                </c:pt>
                <c:pt idx="2">
                  <c:v>7</c:v>
                </c:pt>
                <c:pt idx="3">
                  <c:v>7</c:v>
                </c:pt>
                <c:pt idx="4">
                  <c:v>5</c:v>
                </c:pt>
              </c:numCache>
            </c:numRef>
          </c:val>
          <c:extLst>
            <c:ext xmlns:c16="http://schemas.microsoft.com/office/drawing/2014/chart" uri="{C3380CC4-5D6E-409C-BE32-E72D297353CC}">
              <c16:uniqueId val="{00000008-237A-4920-93EB-8F25DCE409CF}"/>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237A-4920-93EB-8F25DCE409CF}"/>
              </c:ext>
            </c:extLst>
          </c:dPt>
          <c:dPt>
            <c:idx val="3"/>
            <c:invertIfNegative val="0"/>
            <c:bubble3D val="0"/>
            <c:spPr>
              <a:solidFill>
                <a:srgbClr val="92D050"/>
              </a:solidFill>
              <a:ln w="9525" cap="flat" cmpd="sng" algn="ctr">
                <a:solidFill>
                  <a:schemeClr val="tx1"/>
                </a:solidFill>
                <a:round/>
              </a:ln>
              <a:effectLst/>
            </c:spPr>
            <c:extLst>
              <c:ext xmlns:c16="http://schemas.microsoft.com/office/drawing/2014/chart" uri="{C3380CC4-5D6E-409C-BE32-E72D297353CC}">
                <c16:uniqueId val="{0000000D-237A-4920-93EB-8F25DCE409CF}"/>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237A-4920-93EB-8F25DCE409CF}"/>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3"/>
            <c:marker>
              <c:symbol val="dash"/>
              <c:size val="22"/>
              <c:spPr>
                <a:noFill/>
                <a:ln w="9525" cap="flat" cmpd="sng" algn="ctr">
                  <a:noFill/>
                  <a:round/>
                </a:ln>
                <a:effectLst/>
              </c:spPr>
            </c:marker>
            <c:bubble3D val="0"/>
            <c:extLst>
              <c:ext xmlns:c16="http://schemas.microsoft.com/office/drawing/2014/chart" uri="{C3380CC4-5D6E-409C-BE32-E72D297353CC}">
                <c16:uniqueId val="{00000011-237A-4920-93EB-8F25DCE409CF}"/>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7</c:v>
                </c:pt>
                <c:pt idx="1">
                  <c:v>7</c:v>
                </c:pt>
                <c:pt idx="2">
                  <c:v>12</c:v>
                </c:pt>
                <c:pt idx="3">
                  <c:v>12</c:v>
                </c:pt>
                <c:pt idx="4">
                  <c:v>7</c:v>
                </c:pt>
              </c:numCache>
            </c:numRef>
          </c:yVal>
          <c:smooth val="0"/>
          <c:extLst>
            <c:ext xmlns:c16="http://schemas.microsoft.com/office/drawing/2014/chart" uri="{C3380CC4-5D6E-409C-BE32-E72D297353CC}">
              <c16:uniqueId val="{0000000C-237A-4920-93EB-8F25DCE409CF}"/>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B971-4DC5-AE3E-81BC548C3B8D}"/>
              </c:ext>
            </c:extLst>
          </c:dPt>
          <c:dPt>
            <c:idx val="4"/>
            <c:invertIfNegative val="0"/>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F-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5</c:v>
                </c:pt>
                <c:pt idx="1">
                  <c:v>5</c:v>
                </c:pt>
                <c:pt idx="2">
                  <c:v>10</c:v>
                </c:pt>
                <c:pt idx="3">
                  <c:v>10</c:v>
                </c:pt>
                <c:pt idx="4">
                  <c:v>5</c:v>
                </c:pt>
              </c:numCache>
            </c:numRef>
          </c:val>
          <c:extLst>
            <c:ext xmlns:c16="http://schemas.microsoft.com/office/drawing/2014/chart" uri="{C3380CC4-5D6E-409C-BE32-E72D297353CC}">
              <c16:uniqueId val="{00000002-B971-4DC5-AE3E-81BC548C3B8D}"/>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B971-4DC5-AE3E-81BC548C3B8D}"/>
              </c:ext>
            </c:extLst>
          </c:dPt>
          <c:dPt>
            <c:idx val="4"/>
            <c:invertIfNegative val="0"/>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E-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5</c:v>
                </c:pt>
                <c:pt idx="1">
                  <c:v>5</c:v>
                </c:pt>
                <c:pt idx="2">
                  <c:v>8</c:v>
                </c:pt>
                <c:pt idx="3">
                  <c:v>8</c:v>
                </c:pt>
                <c:pt idx="4">
                  <c:v>5</c:v>
                </c:pt>
              </c:numCache>
            </c:numRef>
          </c:val>
          <c:extLst>
            <c:ext xmlns:c16="http://schemas.microsoft.com/office/drawing/2014/chart" uri="{C3380CC4-5D6E-409C-BE32-E72D297353CC}">
              <c16:uniqueId val="{00000005-B971-4DC5-AE3E-81BC548C3B8D}"/>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B971-4DC5-AE3E-81BC548C3B8D}"/>
              </c:ext>
            </c:extLst>
          </c:dPt>
          <c:dPt>
            <c:idx val="4"/>
            <c:invertIfNegative val="0"/>
            <c:bubble3D val="0"/>
            <c:spPr>
              <a:solidFill>
                <a:schemeClr val="accent5">
                  <a:lumMod val="20000"/>
                  <a:lumOff val="80000"/>
                </a:schemeClr>
              </a:solidFill>
              <a:ln w="9525" cap="flat" cmpd="sng" algn="ctr">
                <a:noFill/>
                <a:round/>
              </a:ln>
              <a:effectLst/>
            </c:spPr>
            <c:extLst>
              <c:ext xmlns:c16="http://schemas.microsoft.com/office/drawing/2014/chart" uri="{C3380CC4-5D6E-409C-BE32-E72D297353CC}">
                <c16:uniqueId val="{0000000D-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5</c:v>
                </c:pt>
                <c:pt idx="1">
                  <c:v>5</c:v>
                </c:pt>
                <c:pt idx="2">
                  <c:v>7</c:v>
                </c:pt>
                <c:pt idx="3">
                  <c:v>7</c:v>
                </c:pt>
                <c:pt idx="4">
                  <c:v>5</c:v>
                </c:pt>
              </c:numCache>
            </c:numRef>
          </c:val>
          <c:extLst>
            <c:ext xmlns:c16="http://schemas.microsoft.com/office/drawing/2014/chart" uri="{C3380CC4-5D6E-409C-BE32-E72D297353CC}">
              <c16:uniqueId val="{00000008-B971-4DC5-AE3E-81BC548C3B8D}"/>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B971-4DC5-AE3E-81BC548C3B8D}"/>
              </c:ext>
            </c:extLst>
          </c:dPt>
          <c:dPt>
            <c:idx val="4"/>
            <c:invertIfNegative val="0"/>
            <c:bubble3D val="0"/>
            <c:spPr>
              <a:solidFill>
                <a:srgbClr val="92D050"/>
              </a:solidFill>
              <a:ln w="12700" cap="flat" cmpd="sng" algn="ctr">
                <a:solidFill>
                  <a:schemeClr val="tx1"/>
                </a:solidFill>
                <a:round/>
              </a:ln>
              <a:effectLst/>
            </c:spPr>
            <c:extLst>
              <c:ext xmlns:c16="http://schemas.microsoft.com/office/drawing/2014/chart" uri="{C3380CC4-5D6E-409C-BE32-E72D297353CC}">
                <c16:uniqueId val="{00000010-B971-4DC5-AE3E-81BC548C3B8D}"/>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B971-4DC5-AE3E-81BC548C3B8D}"/>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noFill/>
              <a:ln w="9525" cap="flat" cmpd="sng" algn="ctr">
                <a:noFill/>
                <a:round/>
              </a:ln>
              <a:effectLst/>
            </c:spPr>
          </c:marker>
          <c:dPt>
            <c:idx val="4"/>
            <c:marker>
              <c:symbol val="dash"/>
              <c:size val="22"/>
              <c:spPr>
                <a:noFill/>
                <a:ln w="9525" cap="flat" cmpd="sng" algn="ctr">
                  <a:noFill/>
                  <a:round/>
                </a:ln>
                <a:effectLst/>
              </c:spPr>
            </c:marker>
            <c:bubble3D val="0"/>
            <c:extLst>
              <c:ext xmlns:c16="http://schemas.microsoft.com/office/drawing/2014/chart" uri="{C3380CC4-5D6E-409C-BE32-E72D297353CC}">
                <c16:uniqueId val="{00000011-B971-4DC5-AE3E-81BC548C3B8D}"/>
              </c:ext>
            </c:extLst>
          </c:dPt>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7</c:v>
                </c:pt>
                <c:pt idx="1">
                  <c:v>7</c:v>
                </c:pt>
                <c:pt idx="2">
                  <c:v>12</c:v>
                </c:pt>
                <c:pt idx="3">
                  <c:v>12</c:v>
                </c:pt>
                <c:pt idx="4">
                  <c:v>7</c:v>
                </c:pt>
              </c:numCache>
            </c:numRef>
          </c:yVal>
          <c:smooth val="0"/>
          <c:extLst>
            <c:ext xmlns:c16="http://schemas.microsoft.com/office/drawing/2014/chart" uri="{C3380CC4-5D6E-409C-BE32-E72D297353CC}">
              <c16:uniqueId val="{0000000C-B971-4DC5-AE3E-81BC548C3B8D}"/>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cs typeface="Arial" panose="020B0604020202020204" pitchFamily="34" charset="0"/>
              </a:rPr>
              <a:t>Milestone 1</a:t>
            </a:r>
          </a:p>
        </c:rich>
      </c:tx>
      <c:layout>
        <c:manualLayout>
          <c:xMode val="edge"/>
          <c:yMode val="edge"/>
          <c:x val="0.20977416885389324"/>
          <c:y val="2.0797227036395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722222222222217E-2"/>
          <c:y val="0.18779896013864819"/>
          <c:w val="0.81361111111111106"/>
          <c:h val="0.81220103986135184"/>
        </c:manualLayout>
      </c:layout>
      <c:doughnut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EF65-439B-8971-9BFD8959A361}"/>
              </c:ext>
            </c:extLst>
          </c:dPt>
          <c:dPt>
            <c:idx val="1"/>
            <c:bubble3D val="0"/>
            <c:spPr>
              <a:solidFill>
                <a:schemeClr val="bg1">
                  <a:lumMod val="95000"/>
                  <a:alpha val="50000"/>
                </a:schemeClr>
              </a:solidFill>
              <a:ln w="19050">
                <a:solidFill>
                  <a:schemeClr val="lt1"/>
                </a:solidFill>
              </a:ln>
              <a:effectLst/>
            </c:spPr>
            <c:extLst>
              <c:ext xmlns:c16="http://schemas.microsoft.com/office/drawing/2014/chart" uri="{C3380CC4-5D6E-409C-BE32-E72D297353CC}">
                <c16:uniqueId val="{00000003-EF65-439B-8971-9BFD8959A361}"/>
              </c:ext>
            </c:extLst>
          </c:dPt>
          <c:cat>
            <c:strRef>
              <c:f>MilestoneGraphs_Calc!$F$15:$F$16</c:f>
              <c:strCache>
                <c:ptCount val="2"/>
                <c:pt idx="0">
                  <c:v>Milestone 1: Establish Greenhouse Gas Inventory and Scope of Work </c:v>
                </c:pt>
                <c:pt idx="1">
                  <c:v>M1:Gap</c:v>
                </c:pt>
              </c:strCache>
            </c:strRef>
          </c:cat>
          <c:val>
            <c:numRef>
              <c:f>MilestoneGraphs_Calc!$H$15:$H$16</c:f>
              <c:numCache>
                <c:formatCode>0</c:formatCode>
                <c:ptCount val="2"/>
                <c:pt idx="0">
                  <c:v>0</c:v>
                </c:pt>
                <c:pt idx="1">
                  <c:v>15</c:v>
                </c:pt>
              </c:numCache>
            </c:numRef>
          </c:val>
          <c:extLst>
            <c:ext xmlns:c16="http://schemas.microsoft.com/office/drawing/2014/chart" uri="{C3380CC4-5D6E-409C-BE32-E72D297353CC}">
              <c16:uniqueId val="{00000004-EF65-439B-8971-9BFD8959A36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rPr>
              <a:t>Milestone</a:t>
            </a:r>
            <a:r>
              <a:rPr lang="en-US" sz="1400" baseline="0">
                <a:solidFill>
                  <a:sysClr val="windowText" lastClr="000000"/>
                </a:solidFill>
                <a:latin typeface="Work Sans" pitchFamily="2" charset="0"/>
              </a:rPr>
              <a:t> 2</a:t>
            </a:r>
            <a:endParaRPr lang="en-US" sz="1400">
              <a:solidFill>
                <a:sysClr val="windowText" lastClr="000000"/>
              </a:solidFill>
              <a:latin typeface="Work Sans" pitchFamily="2" charset="0"/>
            </a:endParaRPr>
          </a:p>
        </c:rich>
      </c:tx>
      <c:layout>
        <c:manualLayout>
          <c:xMode val="edge"/>
          <c:yMode val="edge"/>
          <c:x val="0.25189195100612427"/>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3567913385826767E-2"/>
          <c:y val="0.16729166666666667"/>
          <c:w val="0.83270833333333338"/>
          <c:h val="0.83270833333333338"/>
        </c:manualLayout>
      </c:layout>
      <c:doughnut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1-23FF-4984-AB81-56BF1E3A2827}"/>
              </c:ext>
            </c:extLst>
          </c:dPt>
          <c:dPt>
            <c:idx val="1"/>
            <c:bubble3D val="0"/>
            <c:spPr>
              <a:solidFill>
                <a:schemeClr val="tx2">
                  <a:lumMod val="10000"/>
                  <a:lumOff val="90000"/>
                  <a:alpha val="50000"/>
                </a:schemeClr>
              </a:solidFill>
              <a:ln w="19050">
                <a:solidFill>
                  <a:schemeClr val="lt1"/>
                </a:solidFill>
              </a:ln>
              <a:effectLst/>
            </c:spPr>
            <c:extLst>
              <c:ext xmlns:c16="http://schemas.microsoft.com/office/drawing/2014/chart" uri="{C3380CC4-5D6E-409C-BE32-E72D297353CC}">
                <c16:uniqueId val="{00000003-23FF-4984-AB81-56BF1E3A2827}"/>
              </c:ext>
            </c:extLst>
          </c:dPt>
          <c:cat>
            <c:strRef>
              <c:f>MilestoneGraphs_Calc!$F$17:$F$18</c:f>
              <c:strCache>
                <c:ptCount val="2"/>
                <c:pt idx="0">
                  <c:v>Milestone 2: Categorize Portfolio</c:v>
                </c:pt>
                <c:pt idx="1">
                  <c:v>M2:Gap</c:v>
                </c:pt>
              </c:strCache>
            </c:strRef>
          </c:cat>
          <c:val>
            <c:numRef>
              <c:f>MilestoneGraphs_Calc!$H$17:$H$18</c:f>
              <c:numCache>
                <c:formatCode>0</c:formatCode>
                <c:ptCount val="2"/>
                <c:pt idx="0">
                  <c:v>0</c:v>
                </c:pt>
                <c:pt idx="1">
                  <c:v>15</c:v>
                </c:pt>
              </c:numCache>
            </c:numRef>
          </c:val>
          <c:extLst>
            <c:ext xmlns:c16="http://schemas.microsoft.com/office/drawing/2014/chart" uri="{C3380CC4-5D6E-409C-BE32-E72D297353CC}">
              <c16:uniqueId val="{00000004-23FF-4984-AB81-56BF1E3A282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3</a:t>
            </a:r>
          </a:p>
        </c:rich>
      </c:tx>
      <c:layout>
        <c:manualLayout>
          <c:xMode val="edge"/>
          <c:yMode val="edge"/>
          <c:x val="0.216678123930160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9878260869565227E-2"/>
          <c:y val="0.18118055555555557"/>
          <c:w val="0.82024347826086952"/>
          <c:h val="0.818819444444444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C1-45AC-ACCF-3FFD1310A491}"/>
              </c:ext>
            </c:extLst>
          </c:dPt>
          <c:dPt>
            <c:idx val="1"/>
            <c:bubble3D val="0"/>
            <c:spPr>
              <a:solidFill>
                <a:schemeClr val="accent1">
                  <a:lumMod val="20000"/>
                  <a:lumOff val="80000"/>
                  <a:alpha val="50000"/>
                </a:schemeClr>
              </a:solidFill>
              <a:ln w="19050">
                <a:solidFill>
                  <a:schemeClr val="lt1"/>
                </a:solidFill>
              </a:ln>
              <a:effectLst/>
            </c:spPr>
            <c:extLst>
              <c:ext xmlns:c16="http://schemas.microsoft.com/office/drawing/2014/chart" uri="{C3380CC4-5D6E-409C-BE32-E72D297353CC}">
                <c16:uniqueId val="{00000003-FFC1-45AC-ACCF-3FFD1310A491}"/>
              </c:ext>
            </c:extLst>
          </c:dPt>
          <c:cat>
            <c:strRef>
              <c:f>MilestoneGraphs_Calc!$F$19:$F$20</c:f>
              <c:strCache>
                <c:ptCount val="2"/>
                <c:pt idx="0">
                  <c:v>Milestone 3: Assess Measures</c:v>
                </c:pt>
                <c:pt idx="1">
                  <c:v>M3:Gap</c:v>
                </c:pt>
              </c:strCache>
            </c:strRef>
          </c:cat>
          <c:val>
            <c:numRef>
              <c:f>MilestoneGraphs_Calc!$H$19:$H$20</c:f>
              <c:numCache>
                <c:formatCode>0</c:formatCode>
                <c:ptCount val="2"/>
                <c:pt idx="0">
                  <c:v>0</c:v>
                </c:pt>
                <c:pt idx="1">
                  <c:v>25</c:v>
                </c:pt>
              </c:numCache>
            </c:numRef>
          </c:val>
          <c:extLst>
            <c:ext xmlns:c16="http://schemas.microsoft.com/office/drawing/2014/chart" uri="{C3380CC4-5D6E-409C-BE32-E72D297353CC}">
              <c16:uniqueId val="{00000004-FFC1-45AC-ACCF-3FFD1310A49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r>
              <a:rPr lang="en-US"/>
              <a:t>Milestone 4</a:t>
            </a:r>
          </a:p>
        </c:rich>
      </c:tx>
      <c:layout>
        <c:manualLayout>
          <c:xMode val="edge"/>
          <c:yMode val="edge"/>
          <c:x val="0.17573656845753899"/>
          <c:y val="2.0833333333333332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6498996984129148E-2"/>
          <c:y val="0.18545166229221344"/>
          <c:w val="0.82700146017276432"/>
          <c:h val="0.81454833770778656"/>
        </c:manualLayout>
      </c:layout>
      <c:doughnut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09DE-4503-BB7C-1E327F603B71}"/>
              </c:ext>
            </c:extLst>
          </c:dPt>
          <c:dPt>
            <c:idx val="1"/>
            <c:bubble3D val="0"/>
            <c:spPr>
              <a:solidFill>
                <a:schemeClr val="accent3">
                  <a:lumMod val="20000"/>
                  <a:lumOff val="80000"/>
                  <a:alpha val="50000"/>
                </a:schemeClr>
              </a:solidFill>
              <a:ln w="19050">
                <a:solidFill>
                  <a:schemeClr val="lt1"/>
                </a:solidFill>
              </a:ln>
              <a:effectLst/>
            </c:spPr>
            <c:extLst>
              <c:ext xmlns:c16="http://schemas.microsoft.com/office/drawing/2014/chart" uri="{C3380CC4-5D6E-409C-BE32-E72D297353CC}">
                <c16:uniqueId val="{00000003-09DE-4503-BB7C-1E327F603B71}"/>
              </c:ext>
            </c:extLst>
          </c:dPt>
          <c:cat>
            <c:strRef>
              <c:f>MilestoneGraphs_Calc!$F$21:$F$22</c:f>
              <c:strCache>
                <c:ptCount val="2"/>
                <c:pt idx="0">
                  <c:v>Milestone 4: Develop Scenarios</c:v>
                </c:pt>
                <c:pt idx="1">
                  <c:v>M4:Gap</c:v>
                </c:pt>
              </c:strCache>
            </c:strRef>
          </c:cat>
          <c:val>
            <c:numRef>
              <c:f>MilestoneGraphs_Calc!$H$21:$H$22</c:f>
              <c:numCache>
                <c:formatCode>0</c:formatCode>
                <c:ptCount val="2"/>
                <c:pt idx="0">
                  <c:v>0</c:v>
                </c:pt>
                <c:pt idx="1">
                  <c:v>25</c:v>
                </c:pt>
              </c:numCache>
            </c:numRef>
          </c:val>
          <c:extLst>
            <c:ext xmlns:c16="http://schemas.microsoft.com/office/drawing/2014/chart" uri="{C3380CC4-5D6E-409C-BE32-E72D297353CC}">
              <c16:uniqueId val="{00000004-09DE-4503-BB7C-1E327F603B7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6</a:t>
            </a:r>
          </a:p>
        </c:rich>
      </c:tx>
      <c:layout>
        <c:manualLayout>
          <c:xMode val="edge"/>
          <c:yMode val="edge"/>
          <c:x val="0.21022528433945761"/>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9.0590551181102361E-2"/>
          <c:y val="0.16034722222222222"/>
          <c:w val="0.8396527777777778"/>
          <c:h val="0.8396527777777778"/>
        </c:manualLayout>
      </c:layout>
      <c:doughnutChart>
        <c:varyColors val="1"/>
        <c:ser>
          <c:idx val="0"/>
          <c:order val="0"/>
          <c:dPt>
            <c:idx val="0"/>
            <c:bubble3D val="0"/>
            <c:spPr>
              <a:solidFill>
                <a:schemeClr val="accent5"/>
              </a:solidFill>
              <a:ln w="19050">
                <a:solidFill>
                  <a:schemeClr val="lt1"/>
                </a:solidFill>
              </a:ln>
              <a:effectLst/>
            </c:spPr>
            <c:extLst>
              <c:ext xmlns:c16="http://schemas.microsoft.com/office/drawing/2014/chart" uri="{C3380CC4-5D6E-409C-BE32-E72D297353CC}">
                <c16:uniqueId val="{00000001-86C9-4107-909F-F45BC49B98A5}"/>
              </c:ext>
            </c:extLst>
          </c:dPt>
          <c:dPt>
            <c:idx val="1"/>
            <c:bubble3D val="0"/>
            <c:spPr>
              <a:solidFill>
                <a:schemeClr val="accent5">
                  <a:lumMod val="20000"/>
                  <a:lumOff val="80000"/>
                  <a:alpha val="50000"/>
                </a:schemeClr>
              </a:solidFill>
              <a:ln w="19050">
                <a:solidFill>
                  <a:schemeClr val="lt1"/>
                </a:solidFill>
              </a:ln>
              <a:effectLst/>
            </c:spPr>
            <c:extLst>
              <c:ext xmlns:c16="http://schemas.microsoft.com/office/drawing/2014/chart" uri="{C3380CC4-5D6E-409C-BE32-E72D297353CC}">
                <c16:uniqueId val="{00000003-86C9-4107-909F-F45BC49B98A5}"/>
              </c:ext>
            </c:extLst>
          </c:dPt>
          <c:cat>
            <c:strRef>
              <c:f>MilestoneGraphs_Calc!$F$25:$F$26</c:f>
              <c:strCache>
                <c:ptCount val="2"/>
                <c:pt idx="0">
                  <c:v>Milestone 6: Ongoing Implementation </c:v>
                </c:pt>
                <c:pt idx="1">
                  <c:v>M6:Gap</c:v>
                </c:pt>
              </c:strCache>
            </c:strRef>
          </c:cat>
          <c:val>
            <c:numRef>
              <c:f>MilestoneGraphs_Calc!$H$25:$H$26</c:f>
              <c:numCache>
                <c:formatCode>0</c:formatCode>
                <c:ptCount val="2"/>
                <c:pt idx="0">
                  <c:v>0</c:v>
                </c:pt>
                <c:pt idx="1">
                  <c:v>5</c:v>
                </c:pt>
              </c:numCache>
            </c:numRef>
          </c:val>
          <c:extLst>
            <c:ext xmlns:c16="http://schemas.microsoft.com/office/drawing/2014/chart" uri="{C3380CC4-5D6E-409C-BE32-E72D297353CC}">
              <c16:uniqueId val="{00000004-86C9-4107-909F-F45BC49B98A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r>
              <a:rPr lang="en-US"/>
              <a:t>Milestone 5</a:t>
            </a:r>
          </a:p>
        </c:rich>
      </c:tx>
      <c:layout>
        <c:manualLayout>
          <c:xMode val="edge"/>
          <c:yMode val="edge"/>
          <c:x val="0.15359197287839021"/>
          <c:y val="2.5613517060367449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447178477690292E-2"/>
          <c:y val="0.18441627526934445"/>
          <c:w val="0.81459357670537635"/>
          <c:h val="0.81558372473065566"/>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56EE-45C3-8F3E-500E44D0EB27}"/>
              </c:ext>
            </c:extLst>
          </c:dPt>
          <c:dPt>
            <c:idx val="1"/>
            <c:bubble3D val="0"/>
            <c:spPr>
              <a:solidFill>
                <a:schemeClr val="accent2">
                  <a:lumMod val="20000"/>
                  <a:lumOff val="80000"/>
                  <a:alpha val="50000"/>
                </a:schemeClr>
              </a:solidFill>
              <a:ln w="19050">
                <a:solidFill>
                  <a:schemeClr val="lt1"/>
                </a:solidFill>
              </a:ln>
              <a:effectLst/>
            </c:spPr>
            <c:extLst>
              <c:ext xmlns:c16="http://schemas.microsoft.com/office/drawing/2014/chart" uri="{C3380CC4-5D6E-409C-BE32-E72D297353CC}">
                <c16:uniqueId val="{00000003-56EE-45C3-8F3E-500E44D0EB27}"/>
              </c:ext>
            </c:extLst>
          </c:dPt>
          <c:cat>
            <c:strRef>
              <c:f>(MilestoneGraphs_Calc!$F$23,MilestoneGraphs_Calc!$F$24)</c:f>
              <c:strCache>
                <c:ptCount val="2"/>
                <c:pt idx="0">
                  <c:v>Milestone 5: Define Emissions Reduction Plan</c:v>
                </c:pt>
                <c:pt idx="1">
                  <c:v>M5:Gap</c:v>
                </c:pt>
              </c:strCache>
            </c:strRef>
          </c:cat>
          <c:val>
            <c:numRef>
              <c:f>(MilestoneGraphs_Calc!$H$23,MilestoneGraphs_Calc!$H$24)</c:f>
              <c:numCache>
                <c:formatCode>0</c:formatCode>
                <c:ptCount val="2"/>
                <c:pt idx="0">
                  <c:v>0</c:v>
                </c:pt>
                <c:pt idx="1">
                  <c:v>15</c:v>
                </c:pt>
              </c:numCache>
            </c:numRef>
          </c:val>
          <c:extLst>
            <c:ext xmlns:c16="http://schemas.microsoft.com/office/drawing/2014/chart" uri="{C3380CC4-5D6E-409C-BE32-E72D297353CC}">
              <c16:uniqueId val="{00000004-56EE-45C3-8F3E-500E44D0EB2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r>
              <a:rPr lang="en-US" sz="3000"/>
              <a:t>ERP Score</a:t>
            </a:r>
          </a:p>
        </c:rich>
      </c:tx>
      <c:layout>
        <c:manualLayout>
          <c:xMode val="edge"/>
          <c:yMode val="edge"/>
          <c:x val="0.25180555555555556"/>
          <c:y val="0"/>
        </c:manualLayout>
      </c:layout>
      <c:overlay val="0"/>
      <c:spPr>
        <a:noFill/>
        <a:ln>
          <a:noFill/>
        </a:ln>
        <a:effectLst/>
      </c:spPr>
      <c:txPr>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6.8290955818022747E-2"/>
          <c:y val="0.11923185664237765"/>
          <c:w val="0.8807794728783902"/>
          <c:h val="0.88001557047346535"/>
        </c:manualLayout>
      </c:layout>
      <c:doughnutChart>
        <c:varyColors val="1"/>
        <c:ser>
          <c:idx val="0"/>
          <c:order val="0"/>
          <c:spPr>
            <a:solidFill>
              <a:srgbClr val="92D050"/>
            </a:solidFill>
          </c:spPr>
          <c:dPt>
            <c:idx val="0"/>
            <c:bubble3D val="0"/>
            <c:spPr>
              <a:solidFill>
                <a:srgbClr val="92D050"/>
              </a:solidFill>
              <a:ln w="19050">
                <a:solidFill>
                  <a:schemeClr val="lt1"/>
                </a:solidFill>
              </a:ln>
              <a:effectLst/>
            </c:spPr>
            <c:extLst>
              <c:ext xmlns:c16="http://schemas.microsoft.com/office/drawing/2014/chart" uri="{C3380CC4-5D6E-409C-BE32-E72D297353CC}">
                <c16:uniqueId val="{00000001-EAD2-4C7B-B224-E25AE7D3C84D}"/>
              </c:ext>
            </c:extLst>
          </c:dPt>
          <c:dPt>
            <c:idx val="1"/>
            <c:bubble3D val="0"/>
            <c:spPr>
              <a:solidFill>
                <a:srgbClr val="92D050">
                  <a:alpha val="20000"/>
                </a:srgbClr>
              </a:solidFill>
              <a:ln w="19050">
                <a:solidFill>
                  <a:schemeClr val="lt1"/>
                </a:solidFill>
              </a:ln>
              <a:effectLst/>
            </c:spPr>
            <c:extLst>
              <c:ext xmlns:c16="http://schemas.microsoft.com/office/drawing/2014/chart" uri="{C3380CC4-5D6E-409C-BE32-E72D297353CC}">
                <c16:uniqueId val="{00000003-EAD2-4C7B-B224-E25AE7D3C84D}"/>
              </c:ext>
            </c:extLst>
          </c:dPt>
          <c:cat>
            <c:strRef>
              <c:f>MilestoneGraphs_Calc!$F$27:$F$28</c:f>
              <c:strCache>
                <c:ptCount val="2"/>
                <c:pt idx="0">
                  <c:v>ERP total</c:v>
                </c:pt>
                <c:pt idx="1">
                  <c:v>Gap total</c:v>
                </c:pt>
              </c:strCache>
            </c:strRef>
          </c:cat>
          <c:val>
            <c:numRef>
              <c:f>MilestoneGraphs_Calc!$H$27:$H$28</c:f>
              <c:numCache>
                <c:formatCode>0</c:formatCode>
                <c:ptCount val="2"/>
                <c:pt idx="0">
                  <c:v>0</c:v>
                </c:pt>
                <c:pt idx="1">
                  <c:v>100</c:v>
                </c:pt>
              </c:numCache>
            </c:numRef>
          </c:val>
          <c:extLst>
            <c:ext xmlns:c16="http://schemas.microsoft.com/office/drawing/2014/chart" uri="{C3380CC4-5D6E-409C-BE32-E72D297353CC}">
              <c16:uniqueId val="{00000004-EAD2-4C7B-B224-E25AE7D3C8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TechnologyPhasingCurve!$B$2</c:f>
          <c:strCache>
            <c:ptCount val="1"/>
            <c:pt idx="0">
              <c:v>Project Phasing timeline for 0% reduction of emission from baseline</c:v>
            </c:pt>
          </c:strCache>
        </c:strRef>
      </c:tx>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Work Sans" pitchFamily="2" charset="0"/>
              <a:ea typeface="+mj-ea"/>
              <a:cs typeface="+mj-cs"/>
            </a:defRPr>
          </a:pPr>
          <a:endParaRPr lang="en-US"/>
        </a:p>
      </c:txPr>
    </c:title>
    <c:autoTitleDeleted val="0"/>
    <c:plotArea>
      <c:layout>
        <c:manualLayout>
          <c:layoutTarget val="inner"/>
          <c:xMode val="edge"/>
          <c:yMode val="edge"/>
          <c:x val="9.5752141898468493E-2"/>
          <c:y val="0.30354409903704688"/>
          <c:w val="0.87549719063738218"/>
          <c:h val="0.55649087942134157"/>
        </c:manualLayout>
      </c:layout>
      <c:areaChart>
        <c:grouping val="percentStacked"/>
        <c:varyColors val="0"/>
        <c:ser>
          <c:idx val="7"/>
          <c:order val="1"/>
          <c:tx>
            <c:strRef>
              <c:f>TechnologyPhasingCurve!$B$19</c:f>
              <c:strCache>
                <c:ptCount val="1"/>
                <c:pt idx="0">
                  <c:v>Baseline</c:v>
                </c:pt>
              </c:strCache>
            </c:strRef>
          </c:tx>
          <c:spPr>
            <a:solidFill>
              <a:srgbClr val="FFC000"/>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TechnologyPhasingCurve!Scope_Baseline</c:f>
              <c:numCache>
                <c:formatCode>0.00</c:formatCode>
                <c:ptCount val="2"/>
                <c:pt idx="0" formatCode="General">
                  <c:v>#N/A</c:v>
                </c:pt>
              </c:numCache>
            </c:numRef>
          </c:val>
          <c:extLst>
            <c:ext xmlns:c16="http://schemas.microsoft.com/office/drawing/2014/chart" uri="{C3380CC4-5D6E-409C-BE32-E72D297353CC}">
              <c16:uniqueId val="{00000000-66B8-4B4C-9BAA-AC0B9A0E551D}"/>
            </c:ext>
          </c:extLst>
        </c:ser>
        <c:ser>
          <c:idx val="0"/>
          <c:order val="2"/>
          <c:tx>
            <c:strRef>
              <c:f>TechnologyPhasingCurve!$B$20</c:f>
              <c:strCache>
                <c:ptCount val="1"/>
                <c:pt idx="0">
                  <c:v>Energy efficiency</c:v>
                </c:pt>
              </c:strCache>
            </c:strRef>
          </c:tx>
          <c:spPr>
            <a:solidFill>
              <a:srgbClr val="0070C0"/>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[0]!Energy_Efficiency</c:f>
              <c:numCache>
                <c:formatCode>0.00</c:formatCode>
                <c:ptCount val="2"/>
              </c:numCache>
            </c:numRef>
          </c:val>
          <c:extLst>
            <c:ext xmlns:c16="http://schemas.microsoft.com/office/drawing/2014/chart" uri="{C3380CC4-5D6E-409C-BE32-E72D297353CC}">
              <c16:uniqueId val="{00000001-66B8-4B4C-9BAA-AC0B9A0E551D}"/>
            </c:ext>
          </c:extLst>
        </c:ser>
        <c:ser>
          <c:idx val="1"/>
          <c:order val="3"/>
          <c:tx>
            <c:strRef>
              <c:f>TechnologyPhasingCurve!$B$21</c:f>
              <c:strCache>
                <c:ptCount val="1"/>
                <c:pt idx="0">
                  <c:v>Electrification technology</c:v>
                </c:pt>
              </c:strCache>
            </c:strRef>
          </c:tx>
          <c:spPr>
            <a:solidFill>
              <a:srgbClr val="92D050"/>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[0]!Electrification_Tech</c:f>
              <c:numCache>
                <c:formatCode>0.00</c:formatCode>
                <c:ptCount val="2"/>
              </c:numCache>
            </c:numRef>
          </c:val>
          <c:extLst>
            <c:ext xmlns:c16="http://schemas.microsoft.com/office/drawing/2014/chart" uri="{C3380CC4-5D6E-409C-BE32-E72D297353CC}">
              <c16:uniqueId val="{00000002-66B8-4B4C-9BAA-AC0B9A0E551D}"/>
            </c:ext>
          </c:extLst>
        </c:ser>
        <c:ser>
          <c:idx val="2"/>
          <c:order val="4"/>
          <c:tx>
            <c:strRef>
              <c:f>TechnologyPhasingCurve!$B$23</c:f>
              <c:strCache>
                <c:ptCount val="1"/>
                <c:pt idx="0">
                  <c:v>Renewable energy procurement</c:v>
                </c:pt>
              </c:strCache>
            </c:strRef>
          </c:tx>
          <c:spPr>
            <a:gradFill>
              <a:gsLst>
                <a:gs pos="100000">
                  <a:schemeClr val="accent3"/>
                </a:gs>
                <a:gs pos="0">
                  <a:schemeClr val="accent3">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[0]!RE_Production</c:f>
              <c:numCache>
                <c:formatCode>0.00</c:formatCode>
                <c:ptCount val="2"/>
              </c:numCache>
            </c:numRef>
          </c:val>
          <c:extLst>
            <c:ext xmlns:c16="http://schemas.microsoft.com/office/drawing/2014/chart" uri="{C3380CC4-5D6E-409C-BE32-E72D297353CC}">
              <c16:uniqueId val="{00000003-66B8-4B4C-9BAA-AC0B9A0E551D}"/>
            </c:ext>
          </c:extLst>
        </c:ser>
        <c:ser>
          <c:idx val="3"/>
          <c:order val="5"/>
          <c:tx>
            <c:strRef>
              <c:f>TechnologyPhasingCurve!$B$24</c:f>
              <c:strCache>
                <c:ptCount val="1"/>
                <c:pt idx="0">
                  <c:v>Low carbon fuels (e.g. biofuels and H2)</c:v>
                </c:pt>
              </c:strCache>
            </c:strRef>
          </c:tx>
          <c:spPr>
            <a:gradFill>
              <a:gsLst>
                <a:gs pos="100000">
                  <a:schemeClr val="accent4"/>
                </a:gs>
                <a:gs pos="0">
                  <a:schemeClr val="accent4">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[0]!Low_Carbon_Fuels</c:f>
              <c:numCache>
                <c:formatCode>0.00</c:formatCode>
                <c:ptCount val="2"/>
              </c:numCache>
            </c:numRef>
          </c:val>
          <c:extLst>
            <c:ext xmlns:c16="http://schemas.microsoft.com/office/drawing/2014/chart" uri="{C3380CC4-5D6E-409C-BE32-E72D297353CC}">
              <c16:uniqueId val="{00000004-66B8-4B4C-9BAA-AC0B9A0E551D}"/>
            </c:ext>
          </c:extLst>
        </c:ser>
        <c:ser>
          <c:idx val="4"/>
          <c:order val="6"/>
          <c:tx>
            <c:strRef>
              <c:f>TechnologyPhasingCurve!$B$25</c:f>
              <c:strCache>
                <c:ptCount val="1"/>
                <c:pt idx="0">
                  <c:v>Fugitive, Mobile and process emission reduction</c:v>
                </c:pt>
              </c:strCache>
            </c:strRef>
          </c:tx>
          <c:spPr>
            <a:gradFill>
              <a:gsLst>
                <a:gs pos="100000">
                  <a:schemeClr val="accent5"/>
                </a:gs>
                <a:gs pos="0">
                  <a:schemeClr val="accent5">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[0]!Fugitive_Emissions</c:f>
              <c:numCache>
                <c:formatCode>0.00</c:formatCode>
                <c:ptCount val="2"/>
              </c:numCache>
            </c:numRef>
          </c:val>
          <c:extLst>
            <c:ext xmlns:c16="http://schemas.microsoft.com/office/drawing/2014/chart" uri="{C3380CC4-5D6E-409C-BE32-E72D297353CC}">
              <c16:uniqueId val="{00000005-66B8-4B4C-9BAA-AC0B9A0E551D}"/>
            </c:ext>
          </c:extLst>
        </c:ser>
        <c:ser>
          <c:idx val="5"/>
          <c:order val="7"/>
          <c:tx>
            <c:strRef>
              <c:f>TechnologyPhasingCurve!$B$26</c:f>
              <c:strCache>
                <c:ptCount val="1"/>
                <c:pt idx="0">
                  <c:v>Energy storage, grid resiliency and interactivity </c:v>
                </c:pt>
              </c:strCache>
            </c:strRef>
          </c:tx>
          <c:spPr>
            <a:solidFill>
              <a:schemeClr val="accent2">
                <a:lumMod val="75000"/>
              </a:schemeClr>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[0]!Grid_Resiliency</c:f>
              <c:numCache>
                <c:formatCode>0.00</c:formatCode>
                <c:ptCount val="2"/>
              </c:numCache>
            </c:numRef>
          </c:val>
          <c:extLst>
            <c:ext xmlns:c16="http://schemas.microsoft.com/office/drawing/2014/chart" uri="{C3380CC4-5D6E-409C-BE32-E72D297353CC}">
              <c16:uniqueId val="{00000006-66B8-4B4C-9BAA-AC0B9A0E551D}"/>
            </c:ext>
          </c:extLst>
        </c:ser>
        <c:ser>
          <c:idx val="6"/>
          <c:order val="8"/>
          <c:tx>
            <c:strRef>
              <c:f>TechnologyPhasingCurve!$B$27</c:f>
              <c:strCache>
                <c:ptCount val="1"/>
                <c:pt idx="0">
                  <c:v>Carbon capture sequestration and storage</c:v>
                </c:pt>
              </c:strCache>
            </c:strRef>
          </c:tx>
          <c:spPr>
            <a:solidFill>
              <a:schemeClr val="tx1"/>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[0]!CCUS</c:f>
              <c:numCache>
                <c:formatCode>0.00</c:formatCode>
                <c:ptCount val="2"/>
              </c:numCache>
            </c:numRef>
          </c:val>
          <c:extLst>
            <c:ext xmlns:c16="http://schemas.microsoft.com/office/drawing/2014/chart" uri="{C3380CC4-5D6E-409C-BE32-E72D297353CC}">
              <c16:uniqueId val="{00000007-66B8-4B4C-9BAA-AC0B9A0E551D}"/>
            </c:ext>
          </c:extLst>
        </c:ser>
        <c:ser>
          <c:idx val="9"/>
          <c:order val="9"/>
          <c:tx>
            <c:strRef>
              <c:f>TechnologyPhasingCurve!$B$22</c:f>
              <c:strCache>
                <c:ptCount val="1"/>
                <c:pt idx="0">
                  <c:v>On-site Renewable energy production</c:v>
                </c:pt>
              </c:strCache>
            </c:strRef>
          </c:tx>
          <c:spPr>
            <a:solidFill>
              <a:srgbClr val="002060"/>
            </a:solidFill>
            <a:ln>
              <a:solidFill>
                <a:schemeClr val="bg1"/>
              </a:solid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TechnologyPhasingCurve!Scope_Onsite_RE_Gen</c:f>
              <c:numCache>
                <c:formatCode>0.00</c:formatCode>
                <c:ptCount val="2"/>
              </c:numCache>
            </c:numRef>
          </c:val>
          <c:extLst>
            <c:ext xmlns:c16="http://schemas.microsoft.com/office/drawing/2014/chart" uri="{C3380CC4-5D6E-409C-BE32-E72D297353CC}">
              <c16:uniqueId val="{00000008-66B8-4B4C-9BAA-AC0B9A0E551D}"/>
            </c:ext>
          </c:extLst>
        </c:ser>
        <c:dLbls>
          <c:showLegendKey val="0"/>
          <c:showVal val="0"/>
          <c:showCatName val="0"/>
          <c:showSerName val="0"/>
          <c:showPercent val="0"/>
          <c:showBubbleSize val="0"/>
        </c:dLbls>
        <c:dropLines>
          <c:spPr>
            <a:ln w="12700" cap="flat" cmpd="sng" algn="ctr">
              <a:solidFill>
                <a:schemeClr val="bg1">
                  <a:alpha val="50000"/>
                </a:schemeClr>
              </a:solidFill>
              <a:prstDash val="solid"/>
              <a:round/>
            </a:ln>
            <a:effectLst/>
          </c:spPr>
        </c:dropLines>
        <c:axId val="1649851535"/>
        <c:axId val="1649857295"/>
      </c:areaChart>
      <c:lineChart>
        <c:grouping val="standard"/>
        <c:varyColors val="0"/>
        <c:ser>
          <c:idx val="8"/>
          <c:order val="0"/>
          <c:tx>
            <c:strRef>
              <c:f>TechnologyPhasingCurve!$B$28</c:f>
              <c:strCache>
                <c:ptCount val="1"/>
                <c:pt idx="0">
                  <c:v>Target: 0% Emissions Reduction from Baseline</c:v>
                </c:pt>
              </c:strCache>
            </c:strRef>
          </c:tx>
          <c:spPr>
            <a:ln w="38100" cap="rnd">
              <a:solidFill>
                <a:schemeClr val="tx1"/>
              </a:solidFill>
              <a:prstDash val="dash"/>
              <a:round/>
            </a:ln>
            <a:effectLst/>
          </c:spPr>
          <c:marker>
            <c:symbol val="none"/>
          </c:marker>
          <c:cat>
            <c:numRef>
              <c:f>[0]!ChartXAxis</c:f>
              <c:numCache>
                <c:formatCode>General</c:formatCode>
                <c:ptCount val="2"/>
                <c:pt idx="0">
                  <c:v>-1</c:v>
                </c:pt>
                <c:pt idx="1">
                  <c:v>0</c:v>
                </c:pt>
              </c:numCache>
            </c:numRef>
          </c:cat>
          <c:val>
            <c:numRef>
              <c:f>TechnologyPhasingCurve!Scope_Emission_Reduction_Goal</c:f>
              <c:numCache>
                <c:formatCode>0.00</c:formatCode>
                <c:ptCount val="2"/>
              </c:numCache>
            </c:numRef>
          </c:val>
          <c:smooth val="0"/>
          <c:extLst>
            <c:ext xmlns:c16="http://schemas.microsoft.com/office/drawing/2014/chart" uri="{C3380CC4-5D6E-409C-BE32-E72D297353CC}">
              <c16:uniqueId val="{00000009-66B8-4B4C-9BAA-AC0B9A0E551D}"/>
            </c:ext>
          </c:extLst>
        </c:ser>
        <c:dLbls>
          <c:showLegendKey val="0"/>
          <c:showVal val="0"/>
          <c:showCatName val="0"/>
          <c:showSerName val="0"/>
          <c:showPercent val="0"/>
          <c:showBubbleSize val="0"/>
        </c:dLbls>
        <c:dropLines>
          <c:spPr>
            <a:ln w="12700" cap="flat" cmpd="sng" algn="ctr">
              <a:solidFill>
                <a:schemeClr val="bg1">
                  <a:alpha val="40000"/>
                </a:schemeClr>
              </a:solidFill>
              <a:round/>
            </a:ln>
            <a:effectLst/>
          </c:spPr>
        </c:dropLines>
        <c:marker val="1"/>
        <c:smooth val="0"/>
        <c:axId val="1146861072"/>
        <c:axId val="1146855792"/>
      </c:lineChart>
      <c:catAx>
        <c:axId val="1649851535"/>
        <c:scaling>
          <c:orientation val="minMax"/>
        </c:scaling>
        <c:delete val="0"/>
        <c:axPos val="b"/>
        <c:numFmt formatCode="General" sourceLinked="1"/>
        <c:majorTickMark val="in"/>
        <c:minorTickMark val="none"/>
        <c:tickLblPos val="nextTo"/>
        <c:spPr>
          <a:noFill/>
          <a:ln w="12700" cap="flat" cmpd="sng" algn="ctr">
            <a:solidFill>
              <a:schemeClr val="tx1"/>
            </a:solidFill>
            <a:round/>
            <a:headEnd type="none" w="sm" len="sm"/>
            <a:tailEnd type="none" w="sm" len="sm"/>
          </a:ln>
          <a:effectLst/>
        </c:spPr>
        <c:txPr>
          <a:bodyPr rot="-3600000" spcFirstLastPara="1" vertOverflow="ellipsis" wrap="square" anchor="ctr" anchorCtr="1"/>
          <a:lstStyle/>
          <a:p>
            <a:pPr>
              <a:defRPr sz="2000" b="0" i="0" u="none" strike="noStrike" kern="1200" cap="all" baseline="0">
                <a:solidFill>
                  <a:sysClr val="windowText" lastClr="000000"/>
                </a:solidFill>
                <a:latin typeface="Work Sans" pitchFamily="2" charset="0"/>
                <a:ea typeface="+mn-ea"/>
                <a:cs typeface="+mn-cs"/>
              </a:defRPr>
            </a:pPr>
            <a:endParaRPr lang="en-US"/>
          </a:p>
        </c:txPr>
        <c:crossAx val="1649857295"/>
        <c:crosses val="autoZero"/>
        <c:auto val="1"/>
        <c:lblAlgn val="ctr"/>
        <c:lblOffset val="100"/>
        <c:noMultiLvlLbl val="0"/>
      </c:catAx>
      <c:valAx>
        <c:axId val="1649857295"/>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Work Sans" pitchFamily="2" charset="0"/>
                <a:ea typeface="+mn-ea"/>
                <a:cs typeface="+mn-cs"/>
              </a:defRPr>
            </a:pPr>
            <a:endParaRPr lang="en-US"/>
          </a:p>
        </c:txPr>
        <c:crossAx val="1649851535"/>
        <c:crosses val="autoZero"/>
        <c:crossBetween val="between"/>
        <c:minorUnit val="5.000000000000001E-2"/>
      </c:valAx>
      <c:valAx>
        <c:axId val="1146855792"/>
        <c:scaling>
          <c:orientation val="minMax"/>
        </c:scaling>
        <c:delete val="1"/>
        <c:axPos val="r"/>
        <c:numFmt formatCode="General" sourceLinked="1"/>
        <c:majorTickMark val="in"/>
        <c:minorTickMark val="in"/>
        <c:tickLblPos val="nextTo"/>
        <c:crossAx val="1146861072"/>
        <c:crosses val="max"/>
        <c:crossBetween val="between"/>
        <c:minorUnit val="5.000000000000001E-2"/>
      </c:valAx>
      <c:catAx>
        <c:axId val="1146861072"/>
        <c:scaling>
          <c:orientation val="minMax"/>
        </c:scaling>
        <c:delete val="1"/>
        <c:axPos val="b"/>
        <c:numFmt formatCode="General" sourceLinked="1"/>
        <c:majorTickMark val="out"/>
        <c:minorTickMark val="none"/>
        <c:tickLblPos val="nextTo"/>
        <c:crossAx val="1146855792"/>
        <c:crosses val="autoZero"/>
        <c:auto val="1"/>
        <c:lblAlgn val="ctr"/>
        <c:lblOffset val="100"/>
        <c:noMultiLvlLbl val="0"/>
      </c:catAx>
      <c:spPr>
        <a:noFill/>
        <a:ln w="12700">
          <a:solidFill>
            <a:schemeClr val="tx1"/>
          </a:solidFill>
        </a:ln>
        <a:effectLst/>
      </c:spPr>
    </c:plotArea>
    <c:legend>
      <c:legendPos val="r"/>
      <c:layout>
        <c:manualLayout>
          <c:xMode val="edge"/>
          <c:yMode val="edge"/>
          <c:x val="0"/>
          <c:y val="8.99860171625676E-2"/>
          <c:w val="1"/>
          <c:h val="0.2039362166380806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Work Sans" pitchFamily="2" charset="0"/>
              <a:ea typeface="+mn-ea"/>
              <a:cs typeface="+mn-cs"/>
            </a:defRPr>
          </a:pPr>
          <a:endParaRPr lang="en-US"/>
        </a:p>
      </c:txPr>
    </c:legend>
    <c:plotVisOnly val="1"/>
    <c:dispBlanksAs val="zero"/>
    <c:showDLblsOverMax val="0"/>
  </c:chart>
  <c:spPr>
    <a:solidFill>
      <a:schemeClr val="bg1"/>
    </a:solidFill>
    <a:ln w="9525" cap="flat" cmpd="sng" algn="ctr">
      <a:solidFill>
        <a:sysClr val="windowText" lastClr="000000"/>
      </a:solidFill>
      <a:round/>
    </a:ln>
    <a:effectLst/>
  </c:spPr>
  <c:txPr>
    <a:bodyPr/>
    <a:lstStyle/>
    <a:p>
      <a:pPr>
        <a:defRPr sz="20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59503129348403E-3"/>
          <c:y val="4.8192082744377765E-2"/>
          <c:w val="0.48108723892517036"/>
          <c:h val="0.92065816313575466"/>
        </c:manualLayout>
      </c:layout>
      <c:doughnutChart>
        <c:varyColors val="1"/>
        <c:ser>
          <c:idx val="1"/>
          <c:order val="0"/>
          <c:tx>
            <c:strRef>
              <c:f>MilestoneGraphs_Calc!$H$14</c:f>
              <c:strCache>
                <c:ptCount val="1"/>
                <c:pt idx="0">
                  <c:v>Weighted_Score </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8-043D-408F-9958-CDB1F37F6AED}"/>
              </c:ext>
            </c:extLst>
          </c:dPt>
          <c:dPt>
            <c:idx val="1"/>
            <c:bubble3D val="0"/>
            <c:spPr>
              <a:noFill/>
              <a:ln w="19050">
                <a:solidFill>
                  <a:schemeClr val="lt1"/>
                </a:solidFill>
              </a:ln>
              <a:effectLst/>
            </c:spPr>
            <c:extLst>
              <c:ext xmlns:c16="http://schemas.microsoft.com/office/drawing/2014/chart" uri="{C3380CC4-5D6E-409C-BE32-E72D297353CC}">
                <c16:uniqueId val="{00000013-043D-408F-9958-CDB1F37F6AED}"/>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12-043D-408F-9958-CDB1F37F6AED}"/>
              </c:ext>
            </c:extLst>
          </c:dPt>
          <c:dPt>
            <c:idx val="3"/>
            <c:bubble3D val="0"/>
            <c:spPr>
              <a:noFill/>
              <a:ln w="19050">
                <a:solidFill>
                  <a:schemeClr val="lt1"/>
                </a:solidFill>
              </a:ln>
              <a:effectLst/>
            </c:spPr>
            <c:extLst>
              <c:ext xmlns:c16="http://schemas.microsoft.com/office/drawing/2014/chart" uri="{C3380CC4-5D6E-409C-BE32-E72D297353CC}">
                <c16:uniqueId val="{00000009-043D-408F-9958-CDB1F37F6AED}"/>
              </c:ext>
            </c:extLst>
          </c:dPt>
          <c:dPt>
            <c:idx val="4"/>
            <c:bubble3D val="0"/>
            <c:spPr>
              <a:solidFill>
                <a:schemeClr val="accent3">
                  <a:lumMod val="20000"/>
                  <a:lumOff val="80000"/>
                </a:schemeClr>
              </a:solidFill>
              <a:ln w="19050">
                <a:solidFill>
                  <a:schemeClr val="lt1"/>
                </a:solidFill>
              </a:ln>
              <a:effectLst/>
            </c:spPr>
            <c:extLst>
              <c:ext xmlns:c16="http://schemas.microsoft.com/office/drawing/2014/chart" uri="{C3380CC4-5D6E-409C-BE32-E72D297353CC}">
                <c16:uniqueId val="{0000000A-043D-408F-9958-CDB1F37F6AED}"/>
              </c:ext>
            </c:extLst>
          </c:dPt>
          <c:dPt>
            <c:idx val="5"/>
            <c:bubble3D val="0"/>
            <c:spPr>
              <a:noFill/>
              <a:ln w="19050">
                <a:solidFill>
                  <a:schemeClr val="lt1"/>
                </a:solidFill>
              </a:ln>
              <a:effectLst/>
            </c:spPr>
            <c:extLst>
              <c:ext xmlns:c16="http://schemas.microsoft.com/office/drawing/2014/chart" uri="{C3380CC4-5D6E-409C-BE32-E72D297353CC}">
                <c16:uniqueId val="{0000000B-043D-408F-9958-CDB1F37F6AED}"/>
              </c:ext>
            </c:extLst>
          </c:dPt>
          <c:dPt>
            <c:idx val="6"/>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C-043D-408F-9958-CDB1F37F6AED}"/>
              </c:ext>
            </c:extLst>
          </c:dPt>
          <c:dPt>
            <c:idx val="7"/>
            <c:bubble3D val="0"/>
            <c:spPr>
              <a:noFill/>
              <a:ln w="19050">
                <a:solidFill>
                  <a:schemeClr val="lt1"/>
                </a:solidFill>
              </a:ln>
              <a:effectLst/>
            </c:spPr>
            <c:extLst>
              <c:ext xmlns:c16="http://schemas.microsoft.com/office/drawing/2014/chart" uri="{C3380CC4-5D6E-409C-BE32-E72D297353CC}">
                <c16:uniqueId val="{0000000D-043D-408F-9958-CDB1F37F6AED}"/>
              </c:ext>
            </c:extLst>
          </c:dPt>
          <c:dPt>
            <c:idx val="8"/>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E-043D-408F-9958-CDB1F37F6AED}"/>
              </c:ext>
            </c:extLst>
          </c:dPt>
          <c:dPt>
            <c:idx val="9"/>
            <c:bubble3D val="0"/>
            <c:spPr>
              <a:noFill/>
              <a:ln w="19050">
                <a:solidFill>
                  <a:schemeClr val="lt1"/>
                </a:solidFill>
              </a:ln>
              <a:effectLst/>
            </c:spPr>
            <c:extLst>
              <c:ext xmlns:c16="http://schemas.microsoft.com/office/drawing/2014/chart" uri="{C3380CC4-5D6E-409C-BE32-E72D297353CC}">
                <c16:uniqueId val="{0000000F-043D-408F-9958-CDB1F37F6AED}"/>
              </c:ext>
            </c:extLst>
          </c:dPt>
          <c:dPt>
            <c:idx val="10"/>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11-043D-408F-9958-CDB1F37F6AED}"/>
              </c:ext>
            </c:extLst>
          </c:dPt>
          <c:dPt>
            <c:idx val="11"/>
            <c:bubble3D val="0"/>
            <c:spPr>
              <a:noFill/>
              <a:ln w="19050">
                <a:solidFill>
                  <a:schemeClr val="lt1"/>
                </a:solidFill>
              </a:ln>
              <a:effectLst/>
            </c:spPr>
            <c:extLst>
              <c:ext xmlns:c16="http://schemas.microsoft.com/office/drawing/2014/chart" uri="{C3380CC4-5D6E-409C-BE32-E72D297353CC}">
                <c16:uniqueId val="{00000010-043D-408F-9958-CDB1F37F6AED}"/>
              </c:ext>
            </c:extLst>
          </c:dPt>
          <c:dLbls>
            <c:dLbl>
              <c:idx val="0"/>
              <c:layout>
                <c:manualLayout>
                  <c:x val="6.0081210282341797E-3"/>
                  <c:y val="0.11134691965756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3D-408F-9958-CDB1F37F6AED}"/>
                </c:ext>
              </c:extLst>
            </c:dLbl>
            <c:dLbl>
              <c:idx val="2"/>
              <c:layout>
                <c:manualLayout>
                  <c:x val="-5.2161163208859211E-2"/>
                  <c:y val="3.4569754800463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43D-408F-9958-CDB1F37F6AED}"/>
                </c:ext>
              </c:extLst>
            </c:dLbl>
            <c:dLbl>
              <c:idx val="4"/>
              <c:layout>
                <c:manualLayout>
                  <c:x val="-6.0173412165943817E-2"/>
                  <c:y val="-4.2207410056639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3D-408F-9958-CDB1F37F6AED}"/>
                </c:ext>
              </c:extLst>
            </c:dLbl>
            <c:dLbl>
              <c:idx val="6"/>
              <c:layout>
                <c:manualLayout>
                  <c:x val="8.006249519452939E-3"/>
                  <c:y val="-0.11912466818620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43D-408F-9958-CDB1F37F6AED}"/>
                </c:ext>
              </c:extLst>
            </c:dLbl>
            <c:dLbl>
              <c:idx val="8"/>
              <c:layout>
                <c:manualLayout>
                  <c:x val="6.2128123674301865E-2"/>
                  <c:y val="-3.84273123181321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43D-408F-9958-CDB1F37F6AED}"/>
                </c:ext>
              </c:extLst>
            </c:dLbl>
            <c:dLbl>
              <c:idx val="10"/>
              <c:layout>
                <c:manualLayout>
                  <c:x val="1.2030451250859064E-2"/>
                  <c:y val="9.99110120271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43D-408F-9958-CDB1F37F6AED}"/>
                </c:ext>
              </c:extLst>
            </c:dLbl>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Work Sans"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MilestoneGraphs_Calc!$F$15:$F$26</c:f>
              <c:strCache>
                <c:ptCount val="12"/>
                <c:pt idx="0">
                  <c:v>Milestone 1: Establish Greenhouse Gas Inventory and Scope of Work </c:v>
                </c:pt>
                <c:pt idx="1">
                  <c:v>M1:Gap</c:v>
                </c:pt>
                <c:pt idx="2">
                  <c:v>Milestone 2: Categorize Portfolio</c:v>
                </c:pt>
                <c:pt idx="3">
                  <c:v>M2:Gap</c:v>
                </c:pt>
                <c:pt idx="4">
                  <c:v>Milestone 3: Assess Measures</c:v>
                </c:pt>
                <c:pt idx="5">
                  <c:v>M3:Gap</c:v>
                </c:pt>
                <c:pt idx="6">
                  <c:v>Milestone 4: Develop Scenarios</c:v>
                </c:pt>
                <c:pt idx="7">
                  <c:v>M4:Gap</c:v>
                </c:pt>
                <c:pt idx="8">
                  <c:v>Milestone 5: Define Emissions Reduction Plan</c:v>
                </c:pt>
                <c:pt idx="9">
                  <c:v>M5:Gap</c:v>
                </c:pt>
                <c:pt idx="10">
                  <c:v>Milestone 6: Ongoing Implementation </c:v>
                </c:pt>
                <c:pt idx="11">
                  <c:v>M6:Gap</c:v>
                </c:pt>
              </c:strCache>
            </c:strRef>
          </c:cat>
          <c:val>
            <c:numRef>
              <c:f>MilestoneGraphs_Calc!$H$15:$H$26</c:f>
              <c:numCache>
                <c:formatCode>0</c:formatCode>
                <c:ptCount val="12"/>
                <c:pt idx="0">
                  <c:v>0</c:v>
                </c:pt>
                <c:pt idx="1">
                  <c:v>15</c:v>
                </c:pt>
                <c:pt idx="2">
                  <c:v>0</c:v>
                </c:pt>
                <c:pt idx="3">
                  <c:v>15</c:v>
                </c:pt>
                <c:pt idx="4">
                  <c:v>0</c:v>
                </c:pt>
                <c:pt idx="5">
                  <c:v>25</c:v>
                </c:pt>
                <c:pt idx="6">
                  <c:v>0</c:v>
                </c:pt>
                <c:pt idx="7">
                  <c:v>25</c:v>
                </c:pt>
                <c:pt idx="8">
                  <c:v>0</c:v>
                </c:pt>
                <c:pt idx="9">
                  <c:v>15</c:v>
                </c:pt>
                <c:pt idx="10">
                  <c:v>0</c:v>
                </c:pt>
                <c:pt idx="11">
                  <c:v>5</c:v>
                </c:pt>
              </c:numCache>
            </c:numRef>
          </c:val>
          <c:extLst>
            <c:ext xmlns:c16="http://schemas.microsoft.com/office/drawing/2014/chart" uri="{C3380CC4-5D6E-409C-BE32-E72D297353CC}">
              <c16:uniqueId val="{00000001-043D-408F-9958-CDB1F37F6AED}"/>
            </c:ext>
          </c:extLst>
        </c:ser>
        <c:ser>
          <c:idx val="0"/>
          <c:order val="1"/>
          <c:tx>
            <c:strRef>
              <c:f>MilestoneGraphs_Calc!$G$14</c:f>
              <c:strCache>
                <c:ptCount val="1"/>
                <c:pt idx="0">
                  <c:v>Milestone_Max</c:v>
                </c:pt>
              </c:strCache>
            </c:strRef>
          </c:tx>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4-043D-408F-9958-CDB1F37F6A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B-EC46-42D5-8158-5C008AAE6C64}"/>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043D-408F-9958-CDB1F37F6A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F-EC46-42D5-8158-5C008AAE6C64}"/>
              </c:ext>
            </c:extLst>
          </c:dPt>
          <c:dPt>
            <c:idx val="4"/>
            <c:bubble3D val="0"/>
            <c:spPr>
              <a:solidFill>
                <a:schemeClr val="accent3">
                  <a:lumMod val="20000"/>
                  <a:lumOff val="80000"/>
                </a:schemeClr>
              </a:solidFill>
              <a:ln w="19050">
                <a:solidFill>
                  <a:schemeClr val="lt1"/>
                </a:solidFill>
              </a:ln>
              <a:effectLst/>
            </c:spPr>
            <c:extLst>
              <c:ext xmlns:c16="http://schemas.microsoft.com/office/drawing/2014/chart" uri="{C3380CC4-5D6E-409C-BE32-E72D297353CC}">
                <c16:uniqueId val="{00000006-043D-408F-9958-CDB1F37F6AE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3-EC46-42D5-8158-5C008AAE6C64}"/>
              </c:ext>
            </c:extLst>
          </c:dPt>
          <c:dPt>
            <c:idx val="6"/>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7-043D-408F-9958-CDB1F37F6AE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7-EC46-42D5-8158-5C008AAE6C64}"/>
              </c:ext>
            </c:extLst>
          </c:dPt>
          <c:dPt>
            <c:idx val="8"/>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043D-408F-9958-CDB1F37F6AE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B-EC46-42D5-8158-5C008AAE6C64}"/>
              </c:ext>
            </c:extLst>
          </c:dPt>
          <c:dPt>
            <c:idx val="10"/>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2-043D-408F-9958-CDB1F37F6AE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F-EC46-42D5-8158-5C008AAE6C64}"/>
              </c:ext>
            </c:extLst>
          </c:dPt>
          <c:dLbls>
            <c:dLbl>
              <c:idx val="0"/>
              <c:layout>
                <c:manualLayout>
                  <c:x val="3.2521372601862879E-2"/>
                  <c:y val="-7.1442425144654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3D-408F-9958-CDB1F37F6AED}"/>
                </c:ext>
              </c:extLst>
            </c:dLbl>
            <c:dLbl>
              <c:idx val="2"/>
              <c:layout>
                <c:manualLayout>
                  <c:x val="4.8415303807574667E-2"/>
                  <c:y val="-4.0949898954323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3D-408F-9958-CDB1F37F6AED}"/>
                </c:ext>
              </c:extLst>
            </c:dLbl>
            <c:dLbl>
              <c:idx val="4"/>
              <c:layout>
                <c:manualLayout>
                  <c:x val="4.6514587237901465E-2"/>
                  <c:y val="6.0391698369199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3D-408F-9958-CDB1F37F6AED}"/>
                </c:ext>
              </c:extLst>
            </c:dLbl>
            <c:dLbl>
              <c:idx val="6"/>
              <c:layout>
                <c:manualLayout>
                  <c:x val="-4.4395522714423451E-2"/>
                  <c:y val="7.3247298514557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3D-408F-9958-CDB1F37F6AED}"/>
                </c:ext>
              </c:extLst>
            </c:dLbl>
            <c:dLbl>
              <c:idx val="8"/>
              <c:layout>
                <c:manualLayout>
                  <c:x val="-4.077573629081558E-2"/>
                  <c:y val="-6.4880129478862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3D-408F-9958-CDB1F37F6AED}"/>
                </c:ext>
              </c:extLst>
            </c:dLbl>
            <c:dLbl>
              <c:idx val="10"/>
              <c:layout>
                <c:manualLayout>
                  <c:x val="-8.5177805175209627E-3"/>
                  <c:y val="-9.0913271976716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D-408F-9958-CDB1F37F6AED}"/>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Work Sans" pitchFamily="2"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MilestoneGraphs_Calc!$F$15:$F$26</c:f>
              <c:strCache>
                <c:ptCount val="12"/>
                <c:pt idx="0">
                  <c:v>Milestone 1: Establish Greenhouse Gas Inventory and Scope of Work </c:v>
                </c:pt>
                <c:pt idx="1">
                  <c:v>M1:Gap</c:v>
                </c:pt>
                <c:pt idx="2">
                  <c:v>Milestone 2: Categorize Portfolio</c:v>
                </c:pt>
                <c:pt idx="3">
                  <c:v>M2:Gap</c:v>
                </c:pt>
                <c:pt idx="4">
                  <c:v>Milestone 3: Assess Measures</c:v>
                </c:pt>
                <c:pt idx="5">
                  <c:v>M3:Gap</c:v>
                </c:pt>
                <c:pt idx="6">
                  <c:v>Milestone 4: Develop Scenarios</c:v>
                </c:pt>
                <c:pt idx="7">
                  <c:v>M4:Gap</c:v>
                </c:pt>
                <c:pt idx="8">
                  <c:v>Milestone 5: Define Emissions Reduction Plan</c:v>
                </c:pt>
                <c:pt idx="9">
                  <c:v>M5:Gap</c:v>
                </c:pt>
                <c:pt idx="10">
                  <c:v>Milestone 6: Ongoing Implementation </c:v>
                </c:pt>
                <c:pt idx="11">
                  <c:v>M6:Gap</c:v>
                </c:pt>
              </c:strCache>
            </c:strRef>
          </c:cat>
          <c:val>
            <c:numRef>
              <c:f>MilestoneGraphs_Calc!$G$15:$G$26</c:f>
              <c:numCache>
                <c:formatCode>General</c:formatCode>
                <c:ptCount val="12"/>
                <c:pt idx="0">
                  <c:v>15</c:v>
                </c:pt>
                <c:pt idx="2">
                  <c:v>15</c:v>
                </c:pt>
                <c:pt idx="4">
                  <c:v>25</c:v>
                </c:pt>
                <c:pt idx="6">
                  <c:v>25</c:v>
                </c:pt>
                <c:pt idx="8">
                  <c:v>15</c:v>
                </c:pt>
                <c:pt idx="10">
                  <c:v>5</c:v>
                </c:pt>
              </c:numCache>
            </c:numRef>
          </c:val>
          <c:extLst>
            <c:ext xmlns:c16="http://schemas.microsoft.com/office/drawing/2014/chart" uri="{C3380CC4-5D6E-409C-BE32-E72D297353CC}">
              <c16:uniqueId val="{00000000-043D-408F-9958-CDB1F37F6AED}"/>
            </c:ext>
          </c:extLst>
        </c:ser>
        <c:dLbls>
          <c:showLegendKey val="0"/>
          <c:showVal val="0"/>
          <c:showCatName val="0"/>
          <c:showSerName val="0"/>
          <c:showPercent val="0"/>
          <c:showBubbleSize val="0"/>
          <c:showLeaderLines val="1"/>
        </c:dLbls>
        <c:firstSliceAng val="0"/>
        <c:holeSize val="37"/>
      </c:doughnutChart>
      <c:spPr>
        <a:noFill/>
        <a:ln>
          <a:noFill/>
        </a:ln>
        <a:effectLst/>
      </c:spPr>
    </c:plotArea>
    <c:legend>
      <c:legendPos val="r"/>
      <c:legendEntry>
        <c:idx val="1"/>
        <c:delete val="1"/>
      </c:legendEntry>
      <c:legendEntry>
        <c:idx val="3"/>
        <c:delete val="1"/>
      </c:legendEntry>
      <c:legendEntry>
        <c:idx val="5"/>
        <c:delete val="1"/>
      </c:legendEntry>
      <c:legendEntry>
        <c:idx val="7"/>
        <c:delete val="1"/>
      </c:legendEntry>
      <c:legendEntry>
        <c:idx val="9"/>
        <c:delete val="1"/>
      </c:legendEntry>
      <c:legendEntry>
        <c:idx val="11"/>
        <c:delete val="1"/>
      </c:legendEntry>
      <c:layout>
        <c:manualLayout>
          <c:xMode val="edge"/>
          <c:yMode val="edge"/>
          <c:x val="0.51629404103011123"/>
          <c:y val="3.8390431290801167E-3"/>
          <c:w val="0.48370595896988877"/>
          <c:h val="0.99598018932830645"/>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solidFill>
            <a:schemeClr val="tx1"/>
          </a:solidFill>
          <a:latin typeface="Work Sans" pitchFamily="2"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6654893693549E-2"/>
          <c:y val="4.5798225785523568E-2"/>
          <c:w val="0.91226394687241275"/>
          <c:h val="0.85421775443724346"/>
        </c:manualLayout>
      </c:layout>
      <c:barChart>
        <c:barDir val="col"/>
        <c:grouping val="stacked"/>
        <c:varyColors val="0"/>
        <c:ser>
          <c:idx val="2"/>
          <c:order val="2"/>
          <c:tx>
            <c:strRef>
              <c:f>MilestoneGraphs_Calc!$F$5</c:f>
              <c:strCache>
                <c:ptCount val="1"/>
                <c:pt idx="0">
                  <c:v>Low</c:v>
                </c:pt>
              </c:strCache>
            </c:strRef>
          </c:tx>
          <c:spPr>
            <a:solidFill>
              <a:schemeClr val="accent2">
                <a:lumMod val="20000"/>
                <a:lumOff val="80000"/>
                <a:alpha val="20000"/>
              </a:schemeClr>
            </a:solidFill>
            <a:ln w="9525" cap="flat" cmpd="sng" algn="ctr">
              <a:noFill/>
              <a:round/>
            </a:ln>
            <a:effectLst/>
          </c:spPr>
          <c:invertIfNegative val="0"/>
          <c:dPt>
            <c:idx val="0"/>
            <c:invertIfNegative val="0"/>
            <c:bubble3D val="0"/>
            <c:spPr>
              <a:solidFill>
                <a:schemeClr val="accent2">
                  <a:lumMod val="20000"/>
                  <a:lumOff val="80000"/>
                  <a:alpha val="20000"/>
                </a:schemeClr>
              </a:solidFill>
              <a:ln w="9525" cap="flat" cmpd="sng" algn="ctr">
                <a:noFill/>
                <a:round/>
              </a:ln>
              <a:effectLst/>
            </c:spPr>
            <c:extLst>
              <c:ext xmlns:c16="http://schemas.microsoft.com/office/drawing/2014/chart" uri="{C3380CC4-5D6E-409C-BE32-E72D297353CC}">
                <c16:uniqueId val="{00000001-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MilestoneGraphs_Calc!$G$5:$K$5</c:f>
              <c:numCache>
                <c:formatCode>General</c:formatCode>
                <c:ptCount val="5"/>
                <c:pt idx="0">
                  <c:v>5</c:v>
                </c:pt>
                <c:pt idx="1">
                  <c:v>5</c:v>
                </c:pt>
                <c:pt idx="2">
                  <c:v>10</c:v>
                </c:pt>
                <c:pt idx="3">
                  <c:v>10</c:v>
                </c:pt>
                <c:pt idx="4">
                  <c:v>5</c:v>
                </c:pt>
              </c:numCache>
            </c:numRef>
          </c:val>
          <c:extLst>
            <c:ext xmlns:c16="http://schemas.microsoft.com/office/drawing/2014/chart" uri="{C3380CC4-5D6E-409C-BE32-E72D297353CC}">
              <c16:uniqueId val="{00000002-6103-4A54-AAFE-52F762A42AD2}"/>
            </c:ext>
          </c:extLst>
        </c:ser>
        <c:ser>
          <c:idx val="3"/>
          <c:order val="3"/>
          <c:tx>
            <c:strRef>
              <c:f>MilestoneGraphs_Calc!$F$6</c:f>
              <c:strCache>
                <c:ptCount val="1"/>
                <c:pt idx="0">
                  <c:v>Medium</c:v>
                </c:pt>
              </c:strCache>
            </c:strRef>
          </c:tx>
          <c:spPr>
            <a:solidFill>
              <a:schemeClr val="accent4">
                <a:lumMod val="40000"/>
                <a:lumOff val="60000"/>
                <a:alpha val="20000"/>
              </a:schemeClr>
            </a:solidFill>
            <a:ln w="9525" cap="flat" cmpd="sng" algn="ctr">
              <a:noFill/>
              <a:round/>
            </a:ln>
            <a:effectLst/>
          </c:spPr>
          <c:invertIfNegative val="0"/>
          <c:dPt>
            <c:idx val="0"/>
            <c:invertIfNegative val="0"/>
            <c:bubble3D val="0"/>
            <c:spPr>
              <a:solidFill>
                <a:schemeClr val="accent4">
                  <a:lumMod val="40000"/>
                  <a:lumOff val="60000"/>
                  <a:alpha val="20000"/>
                </a:schemeClr>
              </a:solidFill>
              <a:ln w="9525" cap="flat" cmpd="sng" algn="ctr">
                <a:noFill/>
                <a:round/>
              </a:ln>
              <a:effectLst/>
            </c:spPr>
            <c:extLst>
              <c:ext xmlns:c16="http://schemas.microsoft.com/office/drawing/2014/chart" uri="{C3380CC4-5D6E-409C-BE32-E72D297353CC}">
                <c16:uniqueId val="{00000004-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MilestoneGraphs_Calc!$G$6:$K$6</c:f>
              <c:numCache>
                <c:formatCode>General</c:formatCode>
                <c:ptCount val="5"/>
                <c:pt idx="0">
                  <c:v>5</c:v>
                </c:pt>
                <c:pt idx="1">
                  <c:v>5</c:v>
                </c:pt>
                <c:pt idx="2">
                  <c:v>8</c:v>
                </c:pt>
                <c:pt idx="3">
                  <c:v>8</c:v>
                </c:pt>
                <c:pt idx="4">
                  <c:v>5</c:v>
                </c:pt>
              </c:numCache>
            </c:numRef>
          </c:val>
          <c:extLst>
            <c:ext xmlns:c16="http://schemas.microsoft.com/office/drawing/2014/chart" uri="{C3380CC4-5D6E-409C-BE32-E72D297353CC}">
              <c16:uniqueId val="{00000005-6103-4A54-AAFE-52F762A42AD2}"/>
            </c:ext>
          </c:extLst>
        </c:ser>
        <c:ser>
          <c:idx val="4"/>
          <c:order val="4"/>
          <c:tx>
            <c:strRef>
              <c:f>MilestoneGraphs_Calc!$F$7</c:f>
              <c:strCache>
                <c:ptCount val="1"/>
                <c:pt idx="0">
                  <c:v>Max</c:v>
                </c:pt>
              </c:strCache>
            </c:strRef>
          </c:tx>
          <c:spPr>
            <a:solidFill>
              <a:schemeClr val="accent5">
                <a:lumMod val="20000"/>
                <a:lumOff val="80000"/>
                <a:alpha val="20000"/>
              </a:schemeClr>
            </a:solidFill>
            <a:ln w="9525" cap="flat" cmpd="sng" algn="ctr">
              <a:noFill/>
              <a:round/>
            </a:ln>
            <a:effectLst/>
          </c:spPr>
          <c:invertIfNegative val="0"/>
          <c:dPt>
            <c:idx val="0"/>
            <c:invertIfNegative val="0"/>
            <c:bubble3D val="0"/>
            <c:spPr>
              <a:solidFill>
                <a:schemeClr val="accent5">
                  <a:lumMod val="20000"/>
                  <a:lumOff val="80000"/>
                  <a:alpha val="20000"/>
                </a:schemeClr>
              </a:solidFill>
              <a:ln w="9525" cap="flat" cmpd="sng" algn="ctr">
                <a:noFill/>
                <a:round/>
              </a:ln>
              <a:effectLst/>
            </c:spPr>
            <c:extLst>
              <c:ext xmlns:c16="http://schemas.microsoft.com/office/drawing/2014/chart" uri="{C3380CC4-5D6E-409C-BE32-E72D297353CC}">
                <c16:uniqueId val="{00000007-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MilestoneGraphs_Calc!$G$7:$K$7</c:f>
              <c:numCache>
                <c:formatCode>General</c:formatCode>
                <c:ptCount val="5"/>
                <c:pt idx="0">
                  <c:v>5</c:v>
                </c:pt>
                <c:pt idx="1">
                  <c:v>5</c:v>
                </c:pt>
                <c:pt idx="2">
                  <c:v>7</c:v>
                </c:pt>
                <c:pt idx="3">
                  <c:v>7</c:v>
                </c:pt>
                <c:pt idx="4">
                  <c:v>5</c:v>
                </c:pt>
              </c:numCache>
            </c:numRef>
          </c:val>
          <c:extLst>
            <c:ext xmlns:c16="http://schemas.microsoft.com/office/drawing/2014/chart" uri="{C3380CC4-5D6E-409C-BE32-E72D297353CC}">
              <c16:uniqueId val="{00000008-6103-4A54-AAFE-52F762A42AD2}"/>
            </c:ext>
          </c:extLst>
        </c:ser>
        <c:dLbls>
          <c:showLegendKey val="0"/>
          <c:showVal val="0"/>
          <c:showCatName val="0"/>
          <c:showSerName val="0"/>
          <c:showPercent val="0"/>
          <c:showBubbleSize val="0"/>
        </c:dLbls>
        <c:gapWidth val="40"/>
        <c:overlap val="100"/>
        <c:axId val="482818800"/>
        <c:axId val="482798160"/>
      </c:barChart>
      <c:barChart>
        <c:barDir val="col"/>
        <c:grouping val="stacked"/>
        <c:varyColors val="0"/>
        <c:ser>
          <c:idx val="0"/>
          <c:order val="0"/>
          <c:tx>
            <c:strRef>
              <c:f>MilestoneGraphs_Calc!$F$3</c:f>
              <c:strCache>
                <c:ptCount val="1"/>
                <c:pt idx="0">
                  <c:v>Actual</c:v>
                </c:pt>
              </c:strCache>
            </c:strRef>
          </c:tx>
          <c:spPr>
            <a:solidFill>
              <a:srgbClr val="92D050">
                <a:alpha val="20000"/>
              </a:srgbClr>
            </a:solidFill>
            <a:ln w="9525" cap="flat" cmpd="sng" algn="ctr">
              <a:noFill/>
              <a:round/>
            </a:ln>
            <a:effectLst/>
          </c:spPr>
          <c:invertIfNegative val="0"/>
          <c:dPt>
            <c:idx val="0"/>
            <c:invertIfNegative val="0"/>
            <c:bubble3D val="0"/>
            <c:spPr>
              <a:solidFill>
                <a:srgbClr val="92D050">
                  <a:alpha val="20000"/>
                </a:srgbClr>
              </a:solidFill>
              <a:ln w="12700" cap="flat" cmpd="sng" algn="ctr">
                <a:noFill/>
                <a:round/>
              </a:ln>
              <a:effectLst/>
            </c:spPr>
            <c:extLst>
              <c:ext xmlns:c16="http://schemas.microsoft.com/office/drawing/2014/chart" uri="{C3380CC4-5D6E-409C-BE32-E72D297353CC}">
                <c16:uniqueId val="{0000000A-6103-4A54-AAFE-52F762A42AD2}"/>
              </c:ext>
            </c:extLst>
          </c:dPt>
          <c:cat>
            <c:strRef>
              <c:f>MilestoneGraphs_Calc!$G$2:$K$2</c:f>
              <c:strCache>
                <c:ptCount val="5"/>
                <c:pt idx="0">
                  <c:v>Milestone 1</c:v>
                </c:pt>
                <c:pt idx="1">
                  <c:v>Milestone 2</c:v>
                </c:pt>
                <c:pt idx="2">
                  <c:v>Milestone 3</c:v>
                </c:pt>
                <c:pt idx="3">
                  <c:v>Milestone 4</c:v>
                </c:pt>
                <c:pt idx="4">
                  <c:v>Milestone 5</c:v>
                </c:pt>
              </c:strCache>
            </c:strRef>
          </c:cat>
          <c:val>
            <c:numRef>
              <c:f>MilestoneGraphs_Calc!$G$3:$K$3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6103-4A54-AAFE-52F762A42AD2}"/>
            </c:ext>
          </c:extLst>
        </c:ser>
        <c:dLbls>
          <c:showLegendKey val="0"/>
          <c:showVal val="0"/>
          <c:showCatName val="0"/>
          <c:showSerName val="0"/>
          <c:showPercent val="0"/>
          <c:showBubbleSize val="0"/>
        </c:dLbls>
        <c:gapWidth val="200"/>
        <c:overlap val="100"/>
        <c:axId val="532607536"/>
        <c:axId val="532612336"/>
      </c:barChart>
      <c:scatterChart>
        <c:scatterStyle val="lineMarker"/>
        <c:varyColors val="0"/>
        <c:ser>
          <c:idx val="1"/>
          <c:order val="1"/>
          <c:tx>
            <c:strRef>
              <c:f>MilestoneGraphs_Calc!$F$4</c:f>
              <c:strCache>
                <c:ptCount val="1"/>
                <c:pt idx="0">
                  <c:v>Target</c:v>
                </c:pt>
              </c:strCache>
            </c:strRef>
          </c:tx>
          <c:spPr>
            <a:ln w="25400" cap="rnd">
              <a:noFill/>
              <a:round/>
            </a:ln>
            <a:effectLst/>
          </c:spPr>
          <c:marker>
            <c:symbol val="dash"/>
            <c:size val="22"/>
            <c:spPr>
              <a:solidFill>
                <a:schemeClr val="tx1">
                  <a:alpha val="20000"/>
                </a:schemeClr>
              </a:solidFill>
              <a:ln w="9525" cap="flat" cmpd="sng" algn="ctr">
                <a:noFill/>
                <a:round/>
              </a:ln>
              <a:effectLst/>
            </c:spPr>
          </c:marker>
          <c:xVal>
            <c:strRef>
              <c:f>MilestoneGraphs_Calc!$G$2:$K$2</c:f>
              <c:strCache>
                <c:ptCount val="5"/>
                <c:pt idx="0">
                  <c:v>Milestone 1</c:v>
                </c:pt>
                <c:pt idx="1">
                  <c:v>Milestone 2</c:v>
                </c:pt>
                <c:pt idx="2">
                  <c:v>Milestone 3</c:v>
                </c:pt>
                <c:pt idx="3">
                  <c:v>Milestone 4</c:v>
                </c:pt>
                <c:pt idx="4">
                  <c:v>Milestone 5</c:v>
                </c:pt>
              </c:strCache>
            </c:strRef>
          </c:xVal>
          <c:yVal>
            <c:numRef>
              <c:f>MilestoneGraphs_Calc!$G$4:$K$4</c:f>
              <c:numCache>
                <c:formatCode>General</c:formatCode>
                <c:ptCount val="5"/>
                <c:pt idx="0">
                  <c:v>7</c:v>
                </c:pt>
                <c:pt idx="1">
                  <c:v>7</c:v>
                </c:pt>
                <c:pt idx="2">
                  <c:v>12</c:v>
                </c:pt>
                <c:pt idx="3">
                  <c:v>12</c:v>
                </c:pt>
                <c:pt idx="4">
                  <c:v>7</c:v>
                </c:pt>
              </c:numCache>
            </c:numRef>
          </c:yVal>
          <c:smooth val="0"/>
          <c:extLst>
            <c:ext xmlns:c16="http://schemas.microsoft.com/office/drawing/2014/chart" uri="{C3380CC4-5D6E-409C-BE32-E72D297353CC}">
              <c16:uniqueId val="{0000000C-6103-4A54-AAFE-52F762A42AD2}"/>
            </c:ext>
          </c:extLst>
        </c:ser>
        <c:dLbls>
          <c:showLegendKey val="0"/>
          <c:showVal val="0"/>
          <c:showCatName val="0"/>
          <c:showSerName val="0"/>
          <c:showPercent val="0"/>
          <c:showBubbleSize val="0"/>
        </c:dLbls>
        <c:axId val="532607536"/>
        <c:axId val="532612336"/>
      </c:scatterChart>
      <c:catAx>
        <c:axId val="482818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798160"/>
        <c:crosses val="autoZero"/>
        <c:auto val="1"/>
        <c:lblAlgn val="ctr"/>
        <c:lblOffset val="100"/>
        <c:noMultiLvlLbl val="0"/>
      </c:catAx>
      <c:valAx>
        <c:axId val="48279816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out"/>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Work Sans" pitchFamily="2" charset="0"/>
                <a:ea typeface="+mn-ea"/>
                <a:cs typeface="+mn-cs"/>
              </a:defRPr>
            </a:pPr>
            <a:endParaRPr lang="en-US"/>
          </a:p>
        </c:txPr>
        <c:crossAx val="482818800"/>
        <c:crosses val="autoZero"/>
        <c:crossBetween val="between"/>
        <c:majorUnit val="5"/>
        <c:minorUnit val="1"/>
      </c:valAx>
      <c:valAx>
        <c:axId val="532612336"/>
        <c:scaling>
          <c:orientation val="minMax"/>
          <c:max val="30"/>
          <c:min val="0"/>
        </c:scaling>
        <c:delete val="1"/>
        <c:axPos val="r"/>
        <c:numFmt formatCode="0" sourceLinked="1"/>
        <c:majorTickMark val="none"/>
        <c:minorTickMark val="none"/>
        <c:tickLblPos val="nextTo"/>
        <c:crossAx val="532607536"/>
        <c:crosses val="max"/>
        <c:crossBetween val="between"/>
        <c:majorUnit val="5"/>
        <c:minorUnit val="1"/>
      </c:valAx>
      <c:catAx>
        <c:axId val="532607536"/>
        <c:scaling>
          <c:orientation val="minMax"/>
        </c:scaling>
        <c:delete val="1"/>
        <c:axPos val="t"/>
        <c:numFmt formatCode="General" sourceLinked="1"/>
        <c:majorTickMark val="none"/>
        <c:minorTickMark val="none"/>
        <c:tickLblPos val="nextTo"/>
        <c:crossAx val="532612336"/>
        <c:crosses val="max"/>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r>
              <a:rPr lang="en-US"/>
              <a:t>Milestone 5</a:t>
            </a:r>
          </a:p>
        </c:rich>
      </c:tx>
      <c:layout>
        <c:manualLayout>
          <c:xMode val="edge"/>
          <c:yMode val="edge"/>
          <c:x val="0.15359197287839021"/>
          <c:y val="2.5613517060367449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447178477690292E-2"/>
          <c:y val="0.18441627526934445"/>
          <c:w val="0.81459357670537635"/>
          <c:h val="0.81558372473065566"/>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2-37EC-4F38-997F-B27E7E574079}"/>
              </c:ext>
            </c:extLst>
          </c:dPt>
          <c:dPt>
            <c:idx val="1"/>
            <c:bubble3D val="0"/>
            <c:spPr>
              <a:solidFill>
                <a:schemeClr val="accent2">
                  <a:lumMod val="20000"/>
                  <a:lumOff val="80000"/>
                  <a:alpha val="50000"/>
                </a:schemeClr>
              </a:solidFill>
              <a:ln w="19050">
                <a:solidFill>
                  <a:schemeClr val="lt1"/>
                </a:solidFill>
              </a:ln>
              <a:effectLst/>
            </c:spPr>
            <c:extLst>
              <c:ext xmlns:c16="http://schemas.microsoft.com/office/drawing/2014/chart" uri="{C3380CC4-5D6E-409C-BE32-E72D297353CC}">
                <c16:uniqueId val="{00000001-37EC-4F38-997F-B27E7E574079}"/>
              </c:ext>
            </c:extLst>
          </c:dPt>
          <c:dLbls>
            <c:dLbl>
              <c:idx val="0"/>
              <c:layout>
                <c:manualLayout>
                  <c:x val="-0.11805639446058486"/>
                  <c:y val="0.27778300735436567"/>
                </c:manualLayout>
              </c:layout>
              <c:tx>
                <c:rich>
                  <a:bodyPr/>
                  <a:lstStyle/>
                  <a:p>
                    <a:fld id="{177EB046-1680-4E57-B6CF-3729370EEBF9}" type="VALUE">
                      <a:rPr lang="en-US"/>
                      <a:pPr/>
                      <a:t>[VALUE]</a:t>
                    </a:fld>
                    <a:r>
                      <a:rPr lang="en-US"/>
                      <a:t>/15</a:t>
                    </a:r>
                  </a:p>
                </c:rich>
              </c:tx>
              <c:showLegendKey val="0"/>
              <c:showVal val="1"/>
              <c:showCatName val="0"/>
              <c:showSerName val="0"/>
              <c:showPercent val="0"/>
              <c:showBubbleSize val="0"/>
              <c:extLst>
                <c:ext xmlns:c15="http://schemas.microsoft.com/office/drawing/2012/chart" uri="{CE6537A1-D6FC-4f65-9D91-7224C49458BB}">
                  <c15:layout>
                    <c:manualLayout>
                      <c:w val="0.46976252230880017"/>
                      <c:h val="0.26710719160426749"/>
                    </c:manualLayout>
                  </c15:layout>
                  <c15:dlblFieldTable/>
                  <c15:showDataLabelsRange val="0"/>
                </c:ext>
                <c:ext xmlns:c16="http://schemas.microsoft.com/office/drawing/2014/chart" uri="{C3380CC4-5D6E-409C-BE32-E72D297353CC}">
                  <c16:uniqueId val="{00000002-37EC-4F38-997F-B27E7E574079}"/>
                </c:ext>
              </c:extLst>
            </c:dLbl>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Work Sans" pitchFamily="2"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(MilestoneGraphs_Calc!$F$23,MilestoneGraphs_Calc!$F$24)</c:f>
              <c:strCache>
                <c:ptCount val="2"/>
                <c:pt idx="0">
                  <c:v>Milestone 5: Define Emissions Reduction Plan</c:v>
                </c:pt>
                <c:pt idx="1">
                  <c:v>M5:Gap</c:v>
                </c:pt>
              </c:strCache>
            </c:strRef>
          </c:cat>
          <c:val>
            <c:numRef>
              <c:f>(MilestoneGraphs_Calc!$H$23,MilestoneGraphs_Calc!$H$24)</c:f>
              <c:numCache>
                <c:formatCode>0</c:formatCode>
                <c:ptCount val="2"/>
                <c:pt idx="0">
                  <c:v>0</c:v>
                </c:pt>
                <c:pt idx="1">
                  <c:v>15</c:v>
                </c:pt>
              </c:numCache>
            </c:numRef>
          </c:val>
          <c:extLst>
            <c:ext xmlns:c16="http://schemas.microsoft.com/office/drawing/2014/chart" uri="{C3380CC4-5D6E-409C-BE32-E72D297353CC}">
              <c16:uniqueId val="{00000000-37EC-4F38-997F-B27E7E57407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cs typeface="Arial" panose="020B0604020202020204" pitchFamily="34" charset="0"/>
              </a:rPr>
              <a:t>Milestone 1</a:t>
            </a:r>
          </a:p>
        </c:rich>
      </c:tx>
      <c:layout>
        <c:manualLayout>
          <c:xMode val="edge"/>
          <c:yMode val="edge"/>
          <c:x val="0.20977416885389324"/>
          <c:y val="2.0797227036395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9722222222222217E-2"/>
          <c:y val="0.18779896013864819"/>
          <c:w val="0.81361111111111106"/>
          <c:h val="0.81220103986135184"/>
        </c:manualLayout>
      </c:layout>
      <c:doughnut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7765-48AA-B2D3-E0ABC7D10C56}"/>
              </c:ext>
            </c:extLst>
          </c:dPt>
          <c:dPt>
            <c:idx val="1"/>
            <c:bubble3D val="0"/>
            <c:spPr>
              <a:solidFill>
                <a:schemeClr val="bg1">
                  <a:lumMod val="95000"/>
                  <a:alpha val="50000"/>
                </a:schemeClr>
              </a:solidFill>
              <a:ln w="19050">
                <a:solidFill>
                  <a:schemeClr val="lt1"/>
                </a:solidFill>
              </a:ln>
              <a:effectLst/>
            </c:spPr>
            <c:extLst>
              <c:ext xmlns:c16="http://schemas.microsoft.com/office/drawing/2014/chart" uri="{C3380CC4-5D6E-409C-BE32-E72D297353CC}">
                <c16:uniqueId val="{00000002-7765-48AA-B2D3-E0ABC7D10C56}"/>
              </c:ext>
            </c:extLst>
          </c:dPt>
          <c:dLbls>
            <c:dLbl>
              <c:idx val="0"/>
              <c:layout>
                <c:manualLayout>
                  <c:x val="-0.27080437402804691"/>
                  <c:y val="-0.17615633401110822"/>
                </c:manualLayout>
              </c:layout>
              <c:tx>
                <c:rich>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fld id="{31D6D16C-F28E-4DA2-B88F-5380E12808C2}"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/15</a:t>
                    </a:r>
                  </a:p>
                </c:rich>
              </c:tx>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4337568702905544"/>
                      <c:h val="0.20440617366503364"/>
                    </c:manualLayout>
                  </c15:layout>
                  <c15:dlblFieldTable/>
                  <c15:showDataLabelsRange val="0"/>
                </c:ext>
                <c:ext xmlns:c16="http://schemas.microsoft.com/office/drawing/2014/chart" uri="{C3380CC4-5D6E-409C-BE32-E72D297353CC}">
                  <c16:uniqueId val="{00000001-7765-48AA-B2D3-E0ABC7D10C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MilestoneGraphs_Calc!$F$15:$F$16</c:f>
              <c:strCache>
                <c:ptCount val="2"/>
                <c:pt idx="0">
                  <c:v>Milestone 1: Establish Greenhouse Gas Inventory and Scope of Work </c:v>
                </c:pt>
                <c:pt idx="1">
                  <c:v>M1:Gap</c:v>
                </c:pt>
              </c:strCache>
            </c:strRef>
          </c:cat>
          <c:val>
            <c:numRef>
              <c:f>MilestoneGraphs_Calc!$H$15:$H$16</c:f>
              <c:numCache>
                <c:formatCode>0</c:formatCode>
                <c:ptCount val="2"/>
                <c:pt idx="0">
                  <c:v>0</c:v>
                </c:pt>
                <c:pt idx="1">
                  <c:v>15</c:v>
                </c:pt>
              </c:numCache>
            </c:numRef>
          </c:val>
          <c:extLst>
            <c:ext xmlns:c16="http://schemas.microsoft.com/office/drawing/2014/chart" uri="{C3380CC4-5D6E-409C-BE32-E72D297353CC}">
              <c16:uniqueId val="{00000000-7765-48AA-B2D3-E0ABC7D10C5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r>
              <a:rPr lang="en-US" sz="1400">
                <a:solidFill>
                  <a:sysClr val="windowText" lastClr="000000"/>
                </a:solidFill>
                <a:latin typeface="Work Sans" pitchFamily="2" charset="0"/>
              </a:rPr>
              <a:t>Milestone</a:t>
            </a:r>
            <a:r>
              <a:rPr lang="en-US" sz="1400" baseline="0">
                <a:solidFill>
                  <a:sysClr val="windowText" lastClr="000000"/>
                </a:solidFill>
                <a:latin typeface="Work Sans" pitchFamily="2" charset="0"/>
              </a:rPr>
              <a:t> 2</a:t>
            </a:r>
            <a:endParaRPr lang="en-US" sz="1400">
              <a:solidFill>
                <a:sysClr val="windowText" lastClr="000000"/>
              </a:solidFill>
              <a:latin typeface="Work Sans" pitchFamily="2" charset="0"/>
            </a:endParaRPr>
          </a:p>
        </c:rich>
      </c:tx>
      <c:layout>
        <c:manualLayout>
          <c:xMode val="edge"/>
          <c:yMode val="edge"/>
          <c:x val="0.25189195100612427"/>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Arial" panose="020B0604020202020204" pitchFamily="34" charset="0"/>
            </a:defRPr>
          </a:pPr>
          <a:endParaRPr lang="en-US"/>
        </a:p>
      </c:txPr>
    </c:title>
    <c:autoTitleDeleted val="0"/>
    <c:plotArea>
      <c:layout>
        <c:manualLayout>
          <c:layoutTarget val="inner"/>
          <c:xMode val="edge"/>
          <c:yMode val="edge"/>
          <c:x val="8.3567913385826767E-2"/>
          <c:y val="0.16729166666666667"/>
          <c:w val="0.83270833333333338"/>
          <c:h val="0.83270833333333338"/>
        </c:manualLayout>
      </c:layout>
      <c:doughnut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2-798F-4B83-A871-F1C9C9E62F02}"/>
              </c:ext>
            </c:extLst>
          </c:dPt>
          <c:dPt>
            <c:idx val="1"/>
            <c:bubble3D val="0"/>
            <c:spPr>
              <a:solidFill>
                <a:schemeClr val="tx2">
                  <a:lumMod val="10000"/>
                  <a:lumOff val="90000"/>
                  <a:alpha val="50000"/>
                </a:schemeClr>
              </a:solidFill>
              <a:ln w="19050">
                <a:solidFill>
                  <a:schemeClr val="lt1"/>
                </a:solidFill>
              </a:ln>
              <a:effectLst/>
            </c:spPr>
            <c:extLst>
              <c:ext xmlns:c16="http://schemas.microsoft.com/office/drawing/2014/chart" uri="{C3380CC4-5D6E-409C-BE32-E72D297353CC}">
                <c16:uniqueId val="{00000001-798F-4B83-A871-F1C9C9E62F02}"/>
              </c:ext>
            </c:extLst>
          </c:dPt>
          <c:dLbls>
            <c:dLbl>
              <c:idx val="0"/>
              <c:layout>
                <c:manualLayout>
                  <c:x val="-0.29513756979613925"/>
                  <c:y val="4.1672458726782963E-2"/>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Arial" panose="020B0604020202020204" pitchFamily="34" charset="0"/>
                      </a:defRPr>
                    </a:pPr>
                    <a:fld id="{B0351DB3-F899-4943-BB8A-DC48D2FB4502}"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/15</a:t>
                    </a:r>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2457480041652201"/>
                      <c:h val="0.18390949281255503"/>
                    </c:manualLayout>
                  </c15:layout>
                  <c15:dlblFieldTable/>
                  <c15:showDataLabelsRange val="0"/>
                </c:ext>
                <c:ext xmlns:c16="http://schemas.microsoft.com/office/drawing/2014/chart" uri="{C3380CC4-5D6E-409C-BE32-E72D297353CC}">
                  <c16:uniqueId val="{00000002-798F-4B83-A871-F1C9C9E62F0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MilestoneGraphs_Calc!$F$17:$F$18</c:f>
              <c:strCache>
                <c:ptCount val="2"/>
                <c:pt idx="0">
                  <c:v>Milestone 2: Categorize Portfolio</c:v>
                </c:pt>
                <c:pt idx="1">
                  <c:v>M2:Gap</c:v>
                </c:pt>
              </c:strCache>
            </c:strRef>
          </c:cat>
          <c:val>
            <c:numRef>
              <c:f>MilestoneGraphs_Calc!$H$17:$H$18</c:f>
              <c:numCache>
                <c:formatCode>0</c:formatCode>
                <c:ptCount val="2"/>
                <c:pt idx="0">
                  <c:v>0</c:v>
                </c:pt>
                <c:pt idx="1">
                  <c:v>15</c:v>
                </c:pt>
              </c:numCache>
            </c:numRef>
          </c:val>
          <c:extLst>
            <c:ext xmlns:c16="http://schemas.microsoft.com/office/drawing/2014/chart" uri="{C3380CC4-5D6E-409C-BE32-E72D297353CC}">
              <c16:uniqueId val="{00000000-798F-4B83-A871-F1C9C9E62F0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3</a:t>
            </a:r>
          </a:p>
        </c:rich>
      </c:tx>
      <c:layout>
        <c:manualLayout>
          <c:xMode val="edge"/>
          <c:yMode val="edge"/>
          <c:x val="0.2166781239301608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9878260869565227E-2"/>
          <c:y val="0.18118055555555557"/>
          <c:w val="0.82024347826086952"/>
          <c:h val="0.818819444444444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D8-447F-A470-39E6B32E607A}"/>
              </c:ext>
            </c:extLst>
          </c:dPt>
          <c:dPt>
            <c:idx val="1"/>
            <c:bubble3D val="0"/>
            <c:spPr>
              <a:solidFill>
                <a:schemeClr val="accent1">
                  <a:lumMod val="20000"/>
                  <a:lumOff val="80000"/>
                  <a:alpha val="50000"/>
                </a:schemeClr>
              </a:solidFill>
              <a:ln w="19050">
                <a:solidFill>
                  <a:schemeClr val="lt1"/>
                </a:solidFill>
              </a:ln>
              <a:effectLst/>
            </c:spPr>
            <c:extLst>
              <c:ext xmlns:c16="http://schemas.microsoft.com/office/drawing/2014/chart" uri="{C3380CC4-5D6E-409C-BE32-E72D297353CC}">
                <c16:uniqueId val="{00000002-CED8-447F-A470-39E6B32E607A}"/>
              </c:ext>
            </c:extLst>
          </c:dPt>
          <c:dLbls>
            <c:dLbl>
              <c:idx val="0"/>
              <c:layout>
                <c:manualLayout>
                  <c:x val="-0.23999662698445293"/>
                  <c:y val="0.18749993158984116"/>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fld id="{9AF18E7D-FB2D-4A73-8E7E-86C83F84FC47}"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/25</a:t>
                    </a:r>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1140495406182803"/>
                      <c:h val="0.18390949281255503"/>
                    </c:manualLayout>
                  </c15:layout>
                  <c15:dlblFieldTable/>
                  <c15:showDataLabelsRange val="0"/>
                </c:ext>
                <c:ext xmlns:c16="http://schemas.microsoft.com/office/drawing/2014/chart" uri="{C3380CC4-5D6E-409C-BE32-E72D297353CC}">
                  <c16:uniqueId val="{00000001-CED8-447F-A470-39E6B32E60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MilestoneGraphs_Calc!$F$19:$F$20</c:f>
              <c:strCache>
                <c:ptCount val="2"/>
                <c:pt idx="0">
                  <c:v>Milestone 3: Assess Measures</c:v>
                </c:pt>
                <c:pt idx="1">
                  <c:v>M3:Gap</c:v>
                </c:pt>
              </c:strCache>
            </c:strRef>
          </c:cat>
          <c:val>
            <c:numRef>
              <c:f>MilestoneGraphs_Calc!$H$19:$H$20</c:f>
              <c:numCache>
                <c:formatCode>0</c:formatCode>
                <c:ptCount val="2"/>
                <c:pt idx="0">
                  <c:v>0</c:v>
                </c:pt>
                <c:pt idx="1">
                  <c:v>25</c:v>
                </c:pt>
              </c:numCache>
            </c:numRef>
          </c:val>
          <c:extLst>
            <c:ext xmlns:c16="http://schemas.microsoft.com/office/drawing/2014/chart" uri="{C3380CC4-5D6E-409C-BE32-E72D297353CC}">
              <c16:uniqueId val="{00000000-CED8-447F-A470-39E6B32E607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r>
              <a:rPr lang="en-US"/>
              <a:t>Milestone 4</a:t>
            </a:r>
          </a:p>
        </c:rich>
      </c:tx>
      <c:layout>
        <c:manualLayout>
          <c:xMode val="edge"/>
          <c:yMode val="edge"/>
          <c:x val="0.17573656845753899"/>
          <c:y val="2.0833333333333332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8.6498996984129148E-2"/>
          <c:y val="0.18545166229221344"/>
          <c:w val="0.82700146017276432"/>
          <c:h val="0.81454833770778656"/>
        </c:manualLayout>
      </c:layout>
      <c:doughnut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D1FF-403D-8724-5209676600C1}"/>
              </c:ext>
            </c:extLst>
          </c:dPt>
          <c:dPt>
            <c:idx val="1"/>
            <c:bubble3D val="0"/>
            <c:spPr>
              <a:solidFill>
                <a:schemeClr val="accent3">
                  <a:lumMod val="20000"/>
                  <a:lumOff val="80000"/>
                  <a:alpha val="50000"/>
                </a:schemeClr>
              </a:solidFill>
              <a:ln w="19050">
                <a:solidFill>
                  <a:schemeClr val="lt1"/>
                </a:solidFill>
              </a:ln>
              <a:effectLst/>
            </c:spPr>
            <c:extLst>
              <c:ext xmlns:c16="http://schemas.microsoft.com/office/drawing/2014/chart" uri="{C3380CC4-5D6E-409C-BE32-E72D297353CC}">
                <c16:uniqueId val="{00000002-D1FF-403D-8724-5209676600C1}"/>
              </c:ext>
            </c:extLst>
          </c:dPt>
          <c:dLbls>
            <c:dLbl>
              <c:idx val="0"/>
              <c:layout>
                <c:manualLayout>
                  <c:x val="-0.26340014329282102"/>
                  <c:y val="-7.1769192913385821E-2"/>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fld id="{28B2EA62-C1FD-4EEB-A257-74CDAB0ABC7A}" type="VALUE">
                      <a:rPr lang="en-US" sz="2000" b="1"/>
                      <a:pPr>
                        <a:defRPr sz="2000" b="1"/>
                      </a:pPr>
                      <a:t>[VALUE]</a:t>
                    </a:fld>
                    <a:r>
                      <a:rPr lang="en-US" sz="2000" b="1"/>
                      <a:t>/25</a:t>
                    </a:r>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2730399413732645"/>
                      <c:h val="0.18390949281255503"/>
                    </c:manualLayout>
                  </c15:layout>
                  <c15:dlblFieldTable/>
                  <c15:showDataLabelsRange val="0"/>
                </c:ext>
                <c:ext xmlns:c16="http://schemas.microsoft.com/office/drawing/2014/chart" uri="{C3380CC4-5D6E-409C-BE32-E72D297353CC}">
                  <c16:uniqueId val="{00000001-D1FF-403D-8724-5209676600C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Work Sans"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MilestoneGraphs_Calc!$F$21:$F$22</c:f>
              <c:strCache>
                <c:ptCount val="2"/>
                <c:pt idx="0">
                  <c:v>Milestone 4: Develop Scenarios</c:v>
                </c:pt>
                <c:pt idx="1">
                  <c:v>M4:Gap</c:v>
                </c:pt>
              </c:strCache>
            </c:strRef>
          </c:cat>
          <c:val>
            <c:numRef>
              <c:f>MilestoneGraphs_Calc!$H$21:$H$22</c:f>
              <c:numCache>
                <c:formatCode>0</c:formatCode>
                <c:ptCount val="2"/>
                <c:pt idx="0">
                  <c:v>0</c:v>
                </c:pt>
                <c:pt idx="1">
                  <c:v>25</c:v>
                </c:pt>
              </c:numCache>
            </c:numRef>
          </c:val>
          <c:extLst>
            <c:ext xmlns:c16="http://schemas.microsoft.com/office/drawing/2014/chart" uri="{C3380CC4-5D6E-409C-BE32-E72D297353CC}">
              <c16:uniqueId val="{00000000-D1FF-403D-8724-5209676600C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r>
              <a:rPr lang="en-US" sz="1400">
                <a:solidFill>
                  <a:sysClr val="windowText" lastClr="000000"/>
                </a:solidFill>
                <a:latin typeface="Work Sans" pitchFamily="2" charset="0"/>
              </a:rPr>
              <a:t>Milestone 6</a:t>
            </a:r>
          </a:p>
        </c:rich>
      </c:tx>
      <c:layout>
        <c:manualLayout>
          <c:xMode val="edge"/>
          <c:yMode val="edge"/>
          <c:x val="0.21022528433945761"/>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9.0590551181102361E-2"/>
          <c:y val="0.16034722222222222"/>
          <c:w val="0.8396527777777778"/>
          <c:h val="0.8396527777777778"/>
        </c:manualLayout>
      </c:layout>
      <c:doughnutChart>
        <c:varyColors val="1"/>
        <c:ser>
          <c:idx val="0"/>
          <c:order val="0"/>
          <c:dPt>
            <c:idx val="0"/>
            <c:bubble3D val="0"/>
            <c:spPr>
              <a:solidFill>
                <a:schemeClr val="accent5"/>
              </a:solidFill>
              <a:ln w="19050">
                <a:solidFill>
                  <a:schemeClr val="lt1"/>
                </a:solidFill>
              </a:ln>
              <a:effectLst/>
            </c:spPr>
            <c:extLst>
              <c:ext xmlns:c16="http://schemas.microsoft.com/office/drawing/2014/chart" uri="{C3380CC4-5D6E-409C-BE32-E72D297353CC}">
                <c16:uniqueId val="{00000001-B72E-4FB9-87A9-158F95FAD67A}"/>
              </c:ext>
            </c:extLst>
          </c:dPt>
          <c:dPt>
            <c:idx val="1"/>
            <c:bubble3D val="0"/>
            <c:spPr>
              <a:solidFill>
                <a:schemeClr val="accent5">
                  <a:lumMod val="20000"/>
                  <a:lumOff val="80000"/>
                  <a:alpha val="50000"/>
                </a:schemeClr>
              </a:solidFill>
              <a:ln w="19050">
                <a:solidFill>
                  <a:schemeClr val="lt1"/>
                </a:solidFill>
              </a:ln>
              <a:effectLst/>
            </c:spPr>
            <c:extLst>
              <c:ext xmlns:c16="http://schemas.microsoft.com/office/drawing/2014/chart" uri="{C3380CC4-5D6E-409C-BE32-E72D297353CC}">
                <c16:uniqueId val="{00000002-B72E-4FB9-87A9-158F95FAD67A}"/>
              </c:ext>
            </c:extLst>
          </c:dPt>
          <c:dLbls>
            <c:dLbl>
              <c:idx val="0"/>
              <c:layout>
                <c:manualLayout>
                  <c:x val="-0.239585445779708"/>
                  <c:y val="0.18404565245756402"/>
                </c:manualLayout>
              </c:layout>
              <c:tx>
                <c:rich>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fld id="{D936A955-6B1D-4FF1-8E29-B11A44F99880}" type="VALUE">
                      <a:rPr lang="en-US" sz="2000" b="1">
                        <a:solidFill>
                          <a:sysClr val="windowText" lastClr="000000"/>
                        </a:solidFill>
                        <a:latin typeface="Work Sans" pitchFamily="2" charset="0"/>
                      </a:rPr>
                      <a:pPr>
                        <a:defRPr sz="2000" b="1">
                          <a:solidFill>
                            <a:sysClr val="windowText" lastClr="000000"/>
                          </a:solidFill>
                          <a:latin typeface="Work Sans" pitchFamily="2" charset="0"/>
                        </a:defRPr>
                      </a:pPr>
                      <a:t>[VALUE]</a:t>
                    </a:fld>
                    <a:r>
                      <a:rPr lang="en-US" sz="2000" b="1">
                        <a:solidFill>
                          <a:sysClr val="windowText" lastClr="000000"/>
                        </a:solidFill>
                        <a:latin typeface="Work Sans" pitchFamily="2" charset="0"/>
                      </a:rPr>
                      <a:t>/5</a:t>
                    </a:r>
                  </a:p>
                </c:rich>
              </c:tx>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Work Sans"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1351947459188221"/>
                      <c:h val="0.20128483883594786"/>
                    </c:manualLayout>
                  </c15:layout>
                  <c15:dlblFieldTable/>
                  <c15:showDataLabelsRange val="0"/>
                </c:ext>
                <c:ext xmlns:c16="http://schemas.microsoft.com/office/drawing/2014/chart" uri="{C3380CC4-5D6E-409C-BE32-E72D297353CC}">
                  <c16:uniqueId val="{00000001-B72E-4FB9-87A9-158F95FAD67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MilestoneGraphs_Calc!$F$25:$F$26</c:f>
              <c:strCache>
                <c:ptCount val="2"/>
                <c:pt idx="0">
                  <c:v>Milestone 6: Ongoing Implementation </c:v>
                </c:pt>
                <c:pt idx="1">
                  <c:v>M6:Gap</c:v>
                </c:pt>
              </c:strCache>
            </c:strRef>
          </c:cat>
          <c:val>
            <c:numRef>
              <c:f>MilestoneGraphs_Calc!$H$25:$H$26</c:f>
              <c:numCache>
                <c:formatCode>0</c:formatCode>
                <c:ptCount val="2"/>
                <c:pt idx="0">
                  <c:v>0</c:v>
                </c:pt>
                <c:pt idx="1">
                  <c:v>5</c:v>
                </c:pt>
              </c:numCache>
            </c:numRef>
          </c:val>
          <c:extLst>
            <c:ext xmlns:c16="http://schemas.microsoft.com/office/drawing/2014/chart" uri="{C3380CC4-5D6E-409C-BE32-E72D297353CC}">
              <c16:uniqueId val="{00000000-B72E-4FB9-87A9-158F95FAD67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r>
              <a:rPr lang="en-US" sz="3000"/>
              <a:t>ERP Score</a:t>
            </a:r>
          </a:p>
        </c:rich>
      </c:tx>
      <c:layout>
        <c:manualLayout>
          <c:xMode val="edge"/>
          <c:yMode val="edge"/>
          <c:x val="0.25180555555555556"/>
          <c:y val="0"/>
        </c:manualLayout>
      </c:layout>
      <c:overlay val="0"/>
      <c:spPr>
        <a:noFill/>
        <a:ln>
          <a:noFill/>
        </a:ln>
        <a:effectLst/>
      </c:spPr>
      <c:txPr>
        <a:bodyPr rot="0" spcFirstLastPara="1" vertOverflow="ellipsis" vert="horz" wrap="square" anchor="ctr" anchorCtr="1"/>
        <a:lstStyle/>
        <a:p>
          <a:pPr>
            <a:defRPr sz="3000" b="0" i="0" u="none" strike="noStrike" kern="1200" spc="0" baseline="0">
              <a:solidFill>
                <a:sysClr val="windowText" lastClr="000000"/>
              </a:solidFill>
              <a:latin typeface="Work Sans" pitchFamily="2" charset="0"/>
              <a:ea typeface="+mn-ea"/>
              <a:cs typeface="+mn-cs"/>
            </a:defRPr>
          </a:pPr>
          <a:endParaRPr lang="en-US"/>
        </a:p>
      </c:txPr>
    </c:title>
    <c:autoTitleDeleted val="0"/>
    <c:plotArea>
      <c:layout>
        <c:manualLayout>
          <c:layoutTarget val="inner"/>
          <c:xMode val="edge"/>
          <c:yMode val="edge"/>
          <c:x val="6.8290955818022747E-2"/>
          <c:y val="0.11923185664237765"/>
          <c:w val="0.8807794728783902"/>
          <c:h val="0.88001557047346535"/>
        </c:manualLayout>
      </c:layout>
      <c:doughnutChart>
        <c:varyColors val="1"/>
        <c:ser>
          <c:idx val="0"/>
          <c:order val="0"/>
          <c:dPt>
            <c:idx val="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1-D3ED-4F97-ADBA-60C338DDEC33}"/>
              </c:ext>
            </c:extLst>
          </c:dPt>
          <c:dPt>
            <c:idx val="1"/>
            <c:bubble3D val="0"/>
            <c:spPr>
              <a:solidFill>
                <a:schemeClr val="accent3">
                  <a:lumMod val="60000"/>
                  <a:lumOff val="40000"/>
                  <a:alpha val="20000"/>
                </a:schemeClr>
              </a:solidFill>
              <a:ln w="19050">
                <a:solidFill>
                  <a:schemeClr val="lt1"/>
                </a:solidFill>
              </a:ln>
              <a:effectLst/>
            </c:spPr>
            <c:extLst>
              <c:ext xmlns:c16="http://schemas.microsoft.com/office/drawing/2014/chart" uri="{C3380CC4-5D6E-409C-BE32-E72D297353CC}">
                <c16:uniqueId val="{00000002-D3ED-4F97-ADBA-60C338DDEC33}"/>
              </c:ext>
            </c:extLst>
          </c:dPt>
          <c:cat>
            <c:strRef>
              <c:f>MilestoneGraphs_Calc!$F$26:$F$28</c:f>
              <c:strCache>
                <c:ptCount val="3"/>
                <c:pt idx="0">
                  <c:v>M6:Gap</c:v>
                </c:pt>
                <c:pt idx="1">
                  <c:v>ERP total</c:v>
                </c:pt>
                <c:pt idx="2">
                  <c:v>Gap total</c:v>
                </c:pt>
              </c:strCache>
            </c:strRef>
          </c:cat>
          <c:val>
            <c:numRef>
              <c:f>MilestoneGraphs_Calc!$H$27:$H$28</c:f>
              <c:numCache>
                <c:formatCode>0</c:formatCode>
                <c:ptCount val="2"/>
                <c:pt idx="0">
                  <c:v>0</c:v>
                </c:pt>
                <c:pt idx="1">
                  <c:v>100</c:v>
                </c:pt>
              </c:numCache>
            </c:numRef>
          </c:val>
          <c:extLst>
            <c:ext xmlns:c16="http://schemas.microsoft.com/office/drawing/2014/chart" uri="{C3380CC4-5D6E-409C-BE32-E72D297353CC}">
              <c16:uniqueId val="{00000000-D3ED-4F97-ADBA-60C338DDEC3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TechnologyPhasingCurve!$B$2</c:f>
          <c:strCache>
            <c:ptCount val="1"/>
            <c:pt idx="0">
              <c:v>Project Phasing timeline for 0% reduction of emission from baseline</c:v>
            </c:pt>
          </c:strCache>
        </c:strRef>
      </c:tx>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Work Sans" pitchFamily="2" charset="0"/>
              <a:ea typeface="+mj-ea"/>
              <a:cs typeface="+mj-cs"/>
            </a:defRPr>
          </a:pPr>
          <a:endParaRPr lang="en-US"/>
        </a:p>
      </c:txPr>
    </c:title>
    <c:autoTitleDeleted val="0"/>
    <c:plotArea>
      <c:layout>
        <c:manualLayout>
          <c:layoutTarget val="inner"/>
          <c:xMode val="edge"/>
          <c:yMode val="edge"/>
          <c:x val="9.5752141898468493E-2"/>
          <c:y val="0.30354409903704688"/>
          <c:w val="0.87549719063738218"/>
          <c:h val="0.55649087942134157"/>
        </c:manualLayout>
      </c:layout>
      <c:areaChart>
        <c:grouping val="percentStacked"/>
        <c:varyColors val="0"/>
        <c:ser>
          <c:idx val="7"/>
          <c:order val="1"/>
          <c:tx>
            <c:strRef>
              <c:f>TechnologyPhasingCurve!$B$19</c:f>
              <c:strCache>
                <c:ptCount val="1"/>
                <c:pt idx="0">
                  <c:v>Baseline</c:v>
                </c:pt>
              </c:strCache>
            </c:strRef>
          </c:tx>
          <c:spPr>
            <a:solidFill>
              <a:srgbClr val="FFC000"/>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TechnologyPhasingCurve!Scope_Baseline</c:f>
              <c:numCache>
                <c:formatCode>0.00</c:formatCode>
                <c:ptCount val="2"/>
                <c:pt idx="0" formatCode="General">
                  <c:v>#N/A</c:v>
                </c:pt>
              </c:numCache>
            </c:numRef>
          </c:val>
          <c:extLst>
            <c:ext xmlns:c16="http://schemas.microsoft.com/office/drawing/2014/chart" uri="{C3380CC4-5D6E-409C-BE32-E72D297353CC}">
              <c16:uniqueId val="{00000000-15DC-4B37-B1FA-644C3DEE485E}"/>
            </c:ext>
          </c:extLst>
        </c:ser>
        <c:ser>
          <c:idx val="0"/>
          <c:order val="2"/>
          <c:tx>
            <c:strRef>
              <c:f>TechnologyPhasingCurve!$B$20</c:f>
              <c:strCache>
                <c:ptCount val="1"/>
                <c:pt idx="0">
                  <c:v>Energy efficiency</c:v>
                </c:pt>
              </c:strCache>
            </c:strRef>
          </c:tx>
          <c:spPr>
            <a:solidFill>
              <a:srgbClr val="0070C0"/>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[0]!Energy_Efficiency</c:f>
              <c:numCache>
                <c:formatCode>0.00</c:formatCode>
                <c:ptCount val="2"/>
              </c:numCache>
            </c:numRef>
          </c:val>
          <c:extLst>
            <c:ext xmlns:c16="http://schemas.microsoft.com/office/drawing/2014/chart" uri="{C3380CC4-5D6E-409C-BE32-E72D297353CC}">
              <c16:uniqueId val="{00000001-15DC-4B37-B1FA-644C3DEE485E}"/>
            </c:ext>
          </c:extLst>
        </c:ser>
        <c:ser>
          <c:idx val="1"/>
          <c:order val="3"/>
          <c:tx>
            <c:strRef>
              <c:f>TechnologyPhasingCurve!$B$21</c:f>
              <c:strCache>
                <c:ptCount val="1"/>
                <c:pt idx="0">
                  <c:v>Electrification technology</c:v>
                </c:pt>
              </c:strCache>
            </c:strRef>
          </c:tx>
          <c:spPr>
            <a:solidFill>
              <a:srgbClr val="92D050"/>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[0]!Electrification_Tech</c:f>
              <c:numCache>
                <c:formatCode>0.00</c:formatCode>
                <c:ptCount val="2"/>
              </c:numCache>
            </c:numRef>
          </c:val>
          <c:extLst>
            <c:ext xmlns:c16="http://schemas.microsoft.com/office/drawing/2014/chart" uri="{C3380CC4-5D6E-409C-BE32-E72D297353CC}">
              <c16:uniqueId val="{00000002-15DC-4B37-B1FA-644C3DEE485E}"/>
            </c:ext>
          </c:extLst>
        </c:ser>
        <c:ser>
          <c:idx val="2"/>
          <c:order val="4"/>
          <c:tx>
            <c:strRef>
              <c:f>TechnologyPhasingCurve!$B$23</c:f>
              <c:strCache>
                <c:ptCount val="1"/>
                <c:pt idx="0">
                  <c:v>Renewable energy procurement</c:v>
                </c:pt>
              </c:strCache>
            </c:strRef>
          </c:tx>
          <c:spPr>
            <a:gradFill>
              <a:gsLst>
                <a:gs pos="100000">
                  <a:schemeClr val="accent3"/>
                </a:gs>
                <a:gs pos="0">
                  <a:schemeClr val="accent3">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[0]!RE_Production</c:f>
              <c:numCache>
                <c:formatCode>0.00</c:formatCode>
                <c:ptCount val="2"/>
              </c:numCache>
            </c:numRef>
          </c:val>
          <c:extLst>
            <c:ext xmlns:c16="http://schemas.microsoft.com/office/drawing/2014/chart" uri="{C3380CC4-5D6E-409C-BE32-E72D297353CC}">
              <c16:uniqueId val="{00000003-15DC-4B37-B1FA-644C3DEE485E}"/>
            </c:ext>
          </c:extLst>
        </c:ser>
        <c:ser>
          <c:idx val="3"/>
          <c:order val="5"/>
          <c:tx>
            <c:strRef>
              <c:f>TechnologyPhasingCurve!$B$24</c:f>
              <c:strCache>
                <c:ptCount val="1"/>
                <c:pt idx="0">
                  <c:v>Low carbon fuels (e.g. biofuels and H2)</c:v>
                </c:pt>
              </c:strCache>
            </c:strRef>
          </c:tx>
          <c:spPr>
            <a:gradFill>
              <a:gsLst>
                <a:gs pos="100000">
                  <a:schemeClr val="accent4"/>
                </a:gs>
                <a:gs pos="0">
                  <a:schemeClr val="accent4">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[0]!Low_Carbon_Fuels</c:f>
              <c:numCache>
                <c:formatCode>0.00</c:formatCode>
                <c:ptCount val="2"/>
              </c:numCache>
            </c:numRef>
          </c:val>
          <c:extLst>
            <c:ext xmlns:c16="http://schemas.microsoft.com/office/drawing/2014/chart" uri="{C3380CC4-5D6E-409C-BE32-E72D297353CC}">
              <c16:uniqueId val="{00000004-15DC-4B37-B1FA-644C3DEE485E}"/>
            </c:ext>
          </c:extLst>
        </c:ser>
        <c:ser>
          <c:idx val="4"/>
          <c:order val="6"/>
          <c:tx>
            <c:strRef>
              <c:f>TechnologyPhasingCurve!$B$25</c:f>
              <c:strCache>
                <c:ptCount val="1"/>
                <c:pt idx="0">
                  <c:v>Fugitive, Mobile and process emission reduction</c:v>
                </c:pt>
              </c:strCache>
            </c:strRef>
          </c:tx>
          <c:spPr>
            <a:gradFill>
              <a:gsLst>
                <a:gs pos="100000">
                  <a:schemeClr val="accent5"/>
                </a:gs>
                <a:gs pos="0">
                  <a:schemeClr val="accent5">
                    <a:lumMod val="75000"/>
                  </a:schemeClr>
                </a:gs>
              </a:gsLst>
              <a:lin ang="0" scaled="1"/>
            </a:gra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[0]!Fugitive_Emissions</c:f>
              <c:numCache>
                <c:formatCode>0.00</c:formatCode>
                <c:ptCount val="2"/>
              </c:numCache>
            </c:numRef>
          </c:val>
          <c:extLst>
            <c:ext xmlns:c16="http://schemas.microsoft.com/office/drawing/2014/chart" uri="{C3380CC4-5D6E-409C-BE32-E72D297353CC}">
              <c16:uniqueId val="{00000005-15DC-4B37-B1FA-644C3DEE485E}"/>
            </c:ext>
          </c:extLst>
        </c:ser>
        <c:ser>
          <c:idx val="5"/>
          <c:order val="7"/>
          <c:tx>
            <c:strRef>
              <c:f>TechnologyPhasingCurve!$B$26</c:f>
              <c:strCache>
                <c:ptCount val="1"/>
                <c:pt idx="0">
                  <c:v>Energy storage, grid resiliency and interactivity </c:v>
                </c:pt>
              </c:strCache>
            </c:strRef>
          </c:tx>
          <c:spPr>
            <a:solidFill>
              <a:schemeClr val="accent2">
                <a:lumMod val="75000"/>
              </a:schemeClr>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[0]!Grid_Resiliency</c:f>
              <c:numCache>
                <c:formatCode>0.00</c:formatCode>
                <c:ptCount val="2"/>
              </c:numCache>
            </c:numRef>
          </c:val>
          <c:extLst>
            <c:ext xmlns:c16="http://schemas.microsoft.com/office/drawing/2014/chart" uri="{C3380CC4-5D6E-409C-BE32-E72D297353CC}">
              <c16:uniqueId val="{00000006-15DC-4B37-B1FA-644C3DEE485E}"/>
            </c:ext>
          </c:extLst>
        </c:ser>
        <c:ser>
          <c:idx val="6"/>
          <c:order val="8"/>
          <c:tx>
            <c:strRef>
              <c:f>TechnologyPhasingCurve!$B$27</c:f>
              <c:strCache>
                <c:ptCount val="1"/>
                <c:pt idx="0">
                  <c:v>Carbon capture sequestration and storage</c:v>
                </c:pt>
              </c:strCache>
            </c:strRef>
          </c:tx>
          <c:spPr>
            <a:solidFill>
              <a:schemeClr val="tx1"/>
            </a:solidFill>
            <a:ln w="25400">
              <a:no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[0]!CCUS</c:f>
              <c:numCache>
                <c:formatCode>0.00</c:formatCode>
                <c:ptCount val="2"/>
              </c:numCache>
            </c:numRef>
          </c:val>
          <c:extLst>
            <c:ext xmlns:c16="http://schemas.microsoft.com/office/drawing/2014/chart" uri="{C3380CC4-5D6E-409C-BE32-E72D297353CC}">
              <c16:uniqueId val="{00000007-15DC-4B37-B1FA-644C3DEE485E}"/>
            </c:ext>
          </c:extLst>
        </c:ser>
        <c:ser>
          <c:idx val="9"/>
          <c:order val="9"/>
          <c:tx>
            <c:strRef>
              <c:f>TechnologyPhasingCurve!$B$22</c:f>
              <c:strCache>
                <c:ptCount val="1"/>
                <c:pt idx="0">
                  <c:v>On-site Renewable energy production</c:v>
                </c:pt>
              </c:strCache>
            </c:strRef>
          </c:tx>
          <c:spPr>
            <a:solidFill>
              <a:srgbClr val="002060"/>
            </a:solidFill>
            <a:ln>
              <a:solidFill>
                <a:schemeClr val="bg1"/>
              </a:solidFill>
            </a:ln>
            <a:effectLst>
              <a:innerShdw dist="12700" dir="16200000">
                <a:schemeClr val="lt1">
                  <a:alpha val="75000"/>
                </a:schemeClr>
              </a:innerShdw>
            </a:effectLst>
          </c:spPr>
          <c:cat>
            <c:numRef>
              <c:f>[0]!ChartXAxis</c:f>
              <c:numCache>
                <c:formatCode>General</c:formatCode>
                <c:ptCount val="2"/>
                <c:pt idx="0">
                  <c:v>-1</c:v>
                </c:pt>
                <c:pt idx="1">
                  <c:v>0</c:v>
                </c:pt>
              </c:numCache>
            </c:numRef>
          </c:cat>
          <c:val>
            <c:numRef>
              <c:f>TechnologyPhasingCurve!Scope_Onsite_RE_Gen</c:f>
              <c:numCache>
                <c:formatCode>0.00</c:formatCode>
                <c:ptCount val="2"/>
              </c:numCache>
            </c:numRef>
          </c:val>
          <c:extLst>
            <c:ext xmlns:c16="http://schemas.microsoft.com/office/drawing/2014/chart" uri="{C3380CC4-5D6E-409C-BE32-E72D297353CC}">
              <c16:uniqueId val="{00000001-2148-4658-B4DD-5D173E561A37}"/>
            </c:ext>
          </c:extLst>
        </c:ser>
        <c:dLbls>
          <c:showLegendKey val="0"/>
          <c:showVal val="0"/>
          <c:showCatName val="0"/>
          <c:showSerName val="0"/>
          <c:showPercent val="0"/>
          <c:showBubbleSize val="0"/>
        </c:dLbls>
        <c:dropLines>
          <c:spPr>
            <a:ln w="12700" cap="flat" cmpd="sng" algn="ctr">
              <a:solidFill>
                <a:schemeClr val="bg1">
                  <a:alpha val="50000"/>
                </a:schemeClr>
              </a:solidFill>
              <a:prstDash val="solid"/>
              <a:round/>
            </a:ln>
            <a:effectLst/>
          </c:spPr>
        </c:dropLines>
        <c:axId val="1649851535"/>
        <c:axId val="1649857295"/>
      </c:areaChart>
      <c:lineChart>
        <c:grouping val="standard"/>
        <c:varyColors val="0"/>
        <c:ser>
          <c:idx val="8"/>
          <c:order val="0"/>
          <c:tx>
            <c:strRef>
              <c:f>TechnologyPhasingCurve!$B$28</c:f>
              <c:strCache>
                <c:ptCount val="1"/>
                <c:pt idx="0">
                  <c:v>Target: 0% Emissions Reduction from Baseline</c:v>
                </c:pt>
              </c:strCache>
            </c:strRef>
          </c:tx>
          <c:spPr>
            <a:ln w="38100" cap="rnd">
              <a:solidFill>
                <a:schemeClr val="tx1"/>
              </a:solidFill>
              <a:prstDash val="dash"/>
              <a:round/>
            </a:ln>
            <a:effectLst/>
          </c:spPr>
          <c:marker>
            <c:symbol val="none"/>
          </c:marker>
          <c:cat>
            <c:numRef>
              <c:f>[0]!ChartXAxis</c:f>
              <c:numCache>
                <c:formatCode>General</c:formatCode>
                <c:ptCount val="2"/>
                <c:pt idx="0">
                  <c:v>-1</c:v>
                </c:pt>
                <c:pt idx="1">
                  <c:v>0</c:v>
                </c:pt>
              </c:numCache>
            </c:numRef>
          </c:cat>
          <c:val>
            <c:numRef>
              <c:f>TechnologyPhasingCurve!Scope_Emission_Reduction_Goal</c:f>
              <c:numCache>
                <c:formatCode>0.00</c:formatCode>
                <c:ptCount val="2"/>
              </c:numCache>
            </c:numRef>
          </c:val>
          <c:smooth val="0"/>
          <c:extLst>
            <c:ext xmlns:c16="http://schemas.microsoft.com/office/drawing/2014/chart" uri="{C3380CC4-5D6E-409C-BE32-E72D297353CC}">
              <c16:uniqueId val="{00000002-0F27-4352-A8ED-D89C5EACD635}"/>
            </c:ext>
          </c:extLst>
        </c:ser>
        <c:dLbls>
          <c:showLegendKey val="0"/>
          <c:showVal val="0"/>
          <c:showCatName val="0"/>
          <c:showSerName val="0"/>
          <c:showPercent val="0"/>
          <c:showBubbleSize val="0"/>
        </c:dLbls>
        <c:dropLines>
          <c:spPr>
            <a:ln w="12700" cap="flat" cmpd="sng" algn="ctr">
              <a:solidFill>
                <a:schemeClr val="bg1">
                  <a:alpha val="40000"/>
                </a:schemeClr>
              </a:solidFill>
              <a:round/>
            </a:ln>
            <a:effectLst/>
          </c:spPr>
        </c:dropLines>
        <c:marker val="1"/>
        <c:smooth val="0"/>
        <c:axId val="1146861072"/>
        <c:axId val="1146855792"/>
      </c:lineChart>
      <c:catAx>
        <c:axId val="1649851535"/>
        <c:scaling>
          <c:orientation val="minMax"/>
        </c:scaling>
        <c:delete val="0"/>
        <c:axPos val="b"/>
        <c:numFmt formatCode="General" sourceLinked="1"/>
        <c:majorTickMark val="in"/>
        <c:minorTickMark val="none"/>
        <c:tickLblPos val="nextTo"/>
        <c:spPr>
          <a:noFill/>
          <a:ln w="12700" cap="flat" cmpd="sng" algn="ctr">
            <a:solidFill>
              <a:schemeClr val="tx1"/>
            </a:solidFill>
            <a:round/>
            <a:headEnd type="none" w="sm" len="sm"/>
            <a:tailEnd type="none" w="sm" len="sm"/>
          </a:ln>
          <a:effectLst/>
        </c:spPr>
        <c:txPr>
          <a:bodyPr rot="-60000000" spcFirstLastPara="1" vertOverflow="ellipsis" vert="horz" wrap="square" anchor="ctr" anchorCtr="1"/>
          <a:lstStyle/>
          <a:p>
            <a:pPr>
              <a:defRPr sz="2000" b="0" i="0" u="none" strike="noStrike" kern="1200" cap="all" baseline="0">
                <a:solidFill>
                  <a:sysClr val="windowText" lastClr="000000"/>
                </a:solidFill>
                <a:latin typeface="Work Sans" pitchFamily="2" charset="0"/>
                <a:ea typeface="+mn-ea"/>
                <a:cs typeface="+mn-cs"/>
              </a:defRPr>
            </a:pPr>
            <a:endParaRPr lang="en-US"/>
          </a:p>
        </c:txPr>
        <c:crossAx val="1649857295"/>
        <c:crosses val="autoZero"/>
        <c:auto val="1"/>
        <c:lblAlgn val="ctr"/>
        <c:lblOffset val="100"/>
        <c:noMultiLvlLbl val="0"/>
      </c:catAx>
      <c:valAx>
        <c:axId val="1649857295"/>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1"/>
        <c:majorTickMark val="in"/>
        <c:minorTickMark val="in"/>
        <c:tickLblPos val="nextTo"/>
        <c:spPr>
          <a:noFill/>
          <a:ln>
            <a:solidFill>
              <a:schemeClr val="tx1"/>
            </a:solid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Work Sans" pitchFamily="2" charset="0"/>
                <a:ea typeface="+mn-ea"/>
                <a:cs typeface="+mn-cs"/>
              </a:defRPr>
            </a:pPr>
            <a:endParaRPr lang="en-US"/>
          </a:p>
        </c:txPr>
        <c:crossAx val="1649851535"/>
        <c:crosses val="autoZero"/>
        <c:crossBetween val="between"/>
        <c:minorUnit val="5.000000000000001E-2"/>
      </c:valAx>
      <c:valAx>
        <c:axId val="1146855792"/>
        <c:scaling>
          <c:orientation val="minMax"/>
        </c:scaling>
        <c:delete val="1"/>
        <c:axPos val="r"/>
        <c:numFmt formatCode="General" sourceLinked="1"/>
        <c:majorTickMark val="in"/>
        <c:minorTickMark val="in"/>
        <c:tickLblPos val="nextTo"/>
        <c:crossAx val="1146861072"/>
        <c:crosses val="max"/>
        <c:crossBetween val="between"/>
        <c:minorUnit val="5.000000000000001E-2"/>
      </c:valAx>
      <c:catAx>
        <c:axId val="1146861072"/>
        <c:scaling>
          <c:orientation val="minMax"/>
        </c:scaling>
        <c:delete val="1"/>
        <c:axPos val="b"/>
        <c:numFmt formatCode="General" sourceLinked="1"/>
        <c:majorTickMark val="out"/>
        <c:minorTickMark val="none"/>
        <c:tickLblPos val="nextTo"/>
        <c:crossAx val="1146855792"/>
        <c:crosses val="autoZero"/>
        <c:auto val="1"/>
        <c:lblAlgn val="ctr"/>
        <c:lblOffset val="100"/>
        <c:noMultiLvlLbl val="0"/>
      </c:catAx>
      <c:spPr>
        <a:noFill/>
        <a:ln w="12700">
          <a:solidFill>
            <a:schemeClr val="tx1"/>
          </a:solidFill>
        </a:ln>
        <a:effectLst/>
      </c:spPr>
    </c:plotArea>
    <c:legend>
      <c:legendPos val="r"/>
      <c:layout>
        <c:manualLayout>
          <c:xMode val="edge"/>
          <c:yMode val="edge"/>
          <c:x val="0"/>
          <c:y val="8.99860171625676E-2"/>
          <c:w val="1"/>
          <c:h val="0.2039362166380806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Work Sans" pitchFamily="2" charset="0"/>
              <a:ea typeface="+mn-ea"/>
              <a:cs typeface="+mn-cs"/>
            </a:defRPr>
          </a:pPr>
          <a:endParaRPr lang="en-US"/>
        </a:p>
      </c:txPr>
    </c:legend>
    <c:plotVisOnly val="1"/>
    <c:dispBlanksAs val="zero"/>
    <c:showDLblsOverMax val="0"/>
  </c:chart>
  <c:spPr>
    <a:solidFill>
      <a:schemeClr val="bg1"/>
    </a:solidFill>
    <a:ln w="9525" cap="flat" cmpd="sng" algn="ctr">
      <a:solidFill>
        <a:sysClr val="windowText" lastClr="000000"/>
      </a:solidFill>
      <a:round/>
    </a:ln>
    <a:effectLst/>
  </c:spPr>
  <c:txPr>
    <a:bodyPr/>
    <a:lstStyle/>
    <a:p>
      <a:pPr>
        <a:defRPr sz="2000">
          <a:solidFill>
            <a:sysClr val="windowText" lastClr="000000"/>
          </a:solidFill>
          <a:latin typeface="Work Sans"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18" Type="http://schemas.openxmlformats.org/officeDocument/2006/relationships/chart" Target="../charts/chart14.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17" Type="http://schemas.openxmlformats.org/officeDocument/2006/relationships/image" Target="../media/image11.png"/><Relationship Id="rId2" Type="http://schemas.openxmlformats.org/officeDocument/2006/relationships/image" Target="../media/image5.png"/><Relationship Id="rId16"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104531</xdr:colOff>
      <xdr:row>30</xdr:row>
      <xdr:rowOff>182442</xdr:rowOff>
    </xdr:from>
    <xdr:to>
      <xdr:col>5</xdr:col>
      <xdr:colOff>755406</xdr:colOff>
      <xdr:row>35</xdr:row>
      <xdr:rowOff>131730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170973" y="6527557"/>
          <a:ext cx="1694473" cy="865154"/>
        </a:xfrm>
        <a:prstGeom prst="rect">
          <a:avLst/>
        </a:prstGeom>
      </xdr:spPr>
    </xdr:pic>
    <xdr:clientData/>
  </xdr:twoCellAnchor>
  <xdr:twoCellAnchor editAs="oneCell">
    <xdr:from>
      <xdr:col>2</xdr:col>
      <xdr:colOff>493344</xdr:colOff>
      <xdr:row>30</xdr:row>
      <xdr:rowOff>176578</xdr:rowOff>
    </xdr:from>
    <xdr:to>
      <xdr:col>3</xdr:col>
      <xdr:colOff>369519</xdr:colOff>
      <xdr:row>35</xdr:row>
      <xdr:rowOff>168303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478940" y="6521693"/>
          <a:ext cx="913423" cy="907591"/>
        </a:xfrm>
        <a:prstGeom prst="rect">
          <a:avLst/>
        </a:prstGeom>
      </xdr:spPr>
    </xdr:pic>
    <xdr:clientData/>
  </xdr:twoCellAnchor>
  <xdr:twoCellAnchor editAs="oneCell">
    <xdr:from>
      <xdr:col>0</xdr:col>
      <xdr:colOff>0</xdr:colOff>
      <xdr:row>0</xdr:row>
      <xdr:rowOff>0</xdr:rowOff>
    </xdr:from>
    <xdr:to>
      <xdr:col>1</xdr:col>
      <xdr:colOff>30913</xdr:colOff>
      <xdr:row>1</xdr:row>
      <xdr:rowOff>11722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972911" cy="968374"/>
        </a:xfrm>
        <a:prstGeom prst="rect">
          <a:avLst/>
        </a:prstGeom>
      </xdr:spPr>
    </xdr:pic>
    <xdr:clientData/>
  </xdr:twoCellAnchor>
  <xdr:twoCellAnchor editAs="oneCell">
    <xdr:from>
      <xdr:col>7</xdr:col>
      <xdr:colOff>615462</xdr:colOff>
      <xdr:row>0</xdr:row>
      <xdr:rowOff>0</xdr:rowOff>
    </xdr:from>
    <xdr:to>
      <xdr:col>9</xdr:col>
      <xdr:colOff>7060</xdr:colOff>
      <xdr:row>0</xdr:row>
      <xdr:rowOff>879340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val="0"/>
            </a:ext>
          </a:extLst>
        </a:blip>
        <a:srcRect l="27679"/>
        <a:stretch/>
      </xdr:blipFill>
      <xdr:spPr>
        <a:xfrm>
          <a:off x="7898424" y="0"/>
          <a:ext cx="1459744" cy="879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473075</xdr:colOff>
      <xdr:row>0</xdr:row>
      <xdr:rowOff>0</xdr:rowOff>
    </xdr:from>
    <xdr:to>
      <xdr:col>19</xdr:col>
      <xdr:colOff>143631</xdr:colOff>
      <xdr:row>0</xdr:row>
      <xdr:rowOff>945523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9236075" y="0"/>
          <a:ext cx="2105781" cy="942348"/>
        </a:xfrm>
        <a:prstGeom prst="rect">
          <a:avLst/>
        </a:prstGeom>
      </xdr:spPr>
    </xdr:pic>
    <xdr:clientData/>
  </xdr:twoCellAnchor>
  <xdr:twoCellAnchor editAs="oneCell">
    <xdr:from>
      <xdr:col>0</xdr:col>
      <xdr:colOff>0</xdr:colOff>
      <xdr:row>0</xdr:row>
      <xdr:rowOff>2</xdr:rowOff>
    </xdr:from>
    <xdr:to>
      <xdr:col>2</xdr:col>
      <xdr:colOff>313418</xdr:colOff>
      <xdr:row>0</xdr:row>
      <xdr:rowOff>962026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
          <a:ext cx="971550" cy="962024"/>
        </a:xfrm>
        <a:prstGeom prst="rect">
          <a:avLst/>
        </a:prstGeom>
      </xdr:spPr>
    </xdr:pic>
    <xdr:clientData/>
  </xdr:twoCellAnchor>
  <xdr:twoCellAnchor editAs="oneCell">
    <xdr:from>
      <xdr:col>0</xdr:col>
      <xdr:colOff>54430</xdr:colOff>
      <xdr:row>3</xdr:row>
      <xdr:rowOff>56724</xdr:rowOff>
    </xdr:from>
    <xdr:to>
      <xdr:col>19</xdr:col>
      <xdr:colOff>122465</xdr:colOff>
      <xdr:row>22</xdr:row>
      <xdr:rowOff>182000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30" y="1403831"/>
          <a:ext cx="10787289" cy="4000137"/>
        </a:xfrm>
        <a:prstGeom prst="rect">
          <a:avLst/>
        </a:prstGeom>
        <a:noFill/>
        <a:ln w="952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2571750</xdr:colOff>
      <xdr:row>0</xdr:row>
      <xdr:rowOff>0</xdr:rowOff>
    </xdr:from>
    <xdr:to>
      <xdr:col>3</xdr:col>
      <xdr:colOff>4759326</xdr:colOff>
      <xdr:row>0</xdr:row>
      <xdr:rowOff>885370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9210675" y="0"/>
          <a:ext cx="2187576" cy="885370"/>
        </a:xfrm>
        <a:prstGeom prst="rect">
          <a:avLst/>
        </a:prstGeom>
      </xdr:spPr>
    </xdr:pic>
    <xdr:clientData/>
  </xdr:twoCellAnchor>
  <xdr:twoCellAnchor editAs="oneCell">
    <xdr:from>
      <xdr:col>0</xdr:col>
      <xdr:colOff>0</xdr:colOff>
      <xdr:row>0</xdr:row>
      <xdr:rowOff>0</xdr:rowOff>
    </xdr:from>
    <xdr:to>
      <xdr:col>0</xdr:col>
      <xdr:colOff>942975</xdr:colOff>
      <xdr:row>0</xdr:row>
      <xdr:rowOff>927099</xdr:rowOff>
    </xdr:to>
    <xdr:pic>
      <xdr:nvPicPr>
        <xdr:cNvPr id="3" name="Picture 2" descr="File:DOE Seal Color.sv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42975" cy="927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xdr:colOff>
      <xdr:row>13</xdr:row>
      <xdr:rowOff>11965</xdr:rowOff>
    </xdr:from>
    <xdr:to>
      <xdr:col>8</xdr:col>
      <xdr:colOff>1848</xdr:colOff>
      <xdr:row>17</xdr:row>
      <xdr:rowOff>104774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543550" y="3374290"/>
          <a:ext cx="801948" cy="892909"/>
        </a:xfrm>
        <a:prstGeom prst="rect">
          <a:avLst/>
        </a:prstGeom>
      </xdr:spPr>
    </xdr:pic>
    <xdr:clientData/>
  </xdr:twoCellAnchor>
  <xdr:twoCellAnchor editAs="oneCell">
    <xdr:from>
      <xdr:col>8</xdr:col>
      <xdr:colOff>38100</xdr:colOff>
      <xdr:row>0</xdr:row>
      <xdr:rowOff>0</xdr:rowOff>
    </xdr:from>
    <xdr:to>
      <xdr:col>11</xdr:col>
      <xdr:colOff>1</xdr:colOff>
      <xdr:row>0</xdr:row>
      <xdr:rowOff>939800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6381750" y="0"/>
          <a:ext cx="2209801" cy="939800"/>
        </a:xfrm>
        <a:prstGeom prst="rect">
          <a:avLst/>
        </a:prstGeom>
      </xdr:spPr>
    </xdr:pic>
    <xdr:clientData/>
  </xdr:twoCellAnchor>
  <xdr:twoCellAnchor editAs="oneCell">
    <xdr:from>
      <xdr:col>0</xdr:col>
      <xdr:colOff>1</xdr:colOff>
      <xdr:row>0</xdr:row>
      <xdr:rowOff>0</xdr:rowOff>
    </xdr:from>
    <xdr:to>
      <xdr:col>1</xdr:col>
      <xdr:colOff>304801</xdr:colOff>
      <xdr:row>0</xdr:row>
      <xdr:rowOff>933450</xdr:rowOff>
    </xdr:to>
    <xdr:pic>
      <xdr:nvPicPr>
        <xdr:cNvPr id="3" name="Picture 2" descr="File:DOE Seal Color.sv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0"/>
          <a:ext cx="914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358330</xdr:colOff>
      <xdr:row>0</xdr:row>
      <xdr:rowOff>0</xdr:rowOff>
    </xdr:from>
    <xdr:to>
      <xdr:col>27</xdr:col>
      <xdr:colOff>199515</xdr:colOff>
      <xdr:row>1</xdr:row>
      <xdr:rowOff>12030</xdr:rowOff>
    </xdr:to>
    <xdr:pic>
      <xdr:nvPicPr>
        <xdr:cNvPr id="23" name="Picture 1">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9431562" y="0"/>
          <a:ext cx="2263632" cy="987762"/>
        </a:xfrm>
        <a:prstGeom prst="rect">
          <a:avLst/>
        </a:prstGeom>
      </xdr:spPr>
    </xdr:pic>
    <xdr:clientData/>
  </xdr:twoCellAnchor>
  <xdr:twoCellAnchor editAs="oneCell">
    <xdr:from>
      <xdr:col>0</xdr:col>
      <xdr:colOff>0</xdr:colOff>
      <xdr:row>0</xdr:row>
      <xdr:rowOff>0</xdr:rowOff>
    </xdr:from>
    <xdr:to>
      <xdr:col>1</xdr:col>
      <xdr:colOff>707571</xdr:colOff>
      <xdr:row>0</xdr:row>
      <xdr:rowOff>944818</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66107" cy="944818"/>
        </a:xfrm>
        <a:prstGeom prst="rect">
          <a:avLst/>
        </a:prstGeom>
      </xdr:spPr>
    </xdr:pic>
    <xdr:clientData/>
  </xdr:twoCellAnchor>
  <xdr:twoCellAnchor>
    <xdr:from>
      <xdr:col>16</xdr:col>
      <xdr:colOff>140303</xdr:colOff>
      <xdr:row>115</xdr:row>
      <xdr:rowOff>362240</xdr:rowOff>
    </xdr:from>
    <xdr:to>
      <xdr:col>19</xdr:col>
      <xdr:colOff>84817</xdr:colOff>
      <xdr:row>127</xdr:row>
      <xdr:rowOff>79710</xdr:rowOff>
    </xdr:to>
    <xdr:graphicFrame macro="">
      <xdr:nvGraphicFramePr>
        <xdr:cNvPr id="27" name="Chart 19">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140447</xdr:colOff>
      <xdr:row>30</xdr:row>
      <xdr:rowOff>36287</xdr:rowOff>
    </xdr:from>
    <xdr:to>
      <xdr:col>26</xdr:col>
      <xdr:colOff>543832</xdr:colOff>
      <xdr:row>41</xdr:row>
      <xdr:rowOff>297666</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133802</xdr:colOff>
      <xdr:row>46</xdr:row>
      <xdr:rowOff>302986</xdr:rowOff>
    </xdr:from>
    <xdr:to>
      <xdr:col>27</xdr:col>
      <xdr:colOff>63784</xdr:colOff>
      <xdr:row>59</xdr:row>
      <xdr:rowOff>7711</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124278</xdr:colOff>
      <xdr:row>63</xdr:row>
      <xdr:rowOff>250824</xdr:rowOff>
    </xdr:from>
    <xdr:to>
      <xdr:col>27</xdr:col>
      <xdr:colOff>27766</xdr:colOff>
      <xdr:row>70</xdr:row>
      <xdr:rowOff>306613</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141060</xdr:colOff>
      <xdr:row>80</xdr:row>
      <xdr:rowOff>210457</xdr:rowOff>
    </xdr:from>
    <xdr:to>
      <xdr:col>27</xdr:col>
      <xdr:colOff>44548</xdr:colOff>
      <xdr:row>87</xdr:row>
      <xdr:rowOff>311150</xdr:rowOff>
    </xdr:to>
    <xdr:graphicFrame macro="">
      <xdr:nvGraphicFramePr>
        <xdr:cNvPr id="17" name="Chart 16">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207281</xdr:colOff>
      <xdr:row>97</xdr:row>
      <xdr:rowOff>197757</xdr:rowOff>
    </xdr:from>
    <xdr:to>
      <xdr:col>27</xdr:col>
      <xdr:colOff>98069</xdr:colOff>
      <xdr:row>106</xdr:row>
      <xdr:rowOff>238126</xdr:rowOff>
    </xdr:to>
    <xdr:graphicFrame macro="">
      <xdr:nvGraphicFramePr>
        <xdr:cNvPr id="21" name="Chart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65314</xdr:colOff>
      <xdr:row>1</xdr:row>
      <xdr:rowOff>198664</xdr:rowOff>
    </xdr:from>
    <xdr:to>
      <xdr:col>27</xdr:col>
      <xdr:colOff>124717</xdr:colOff>
      <xdr:row>11</xdr:row>
      <xdr:rowOff>1513567</xdr:rowOff>
    </xdr:to>
    <xdr:grpSp>
      <xdr:nvGrpSpPr>
        <xdr:cNvPr id="13" name="Group 12">
          <a:extLst>
            <a:ext uri="{FF2B5EF4-FFF2-40B4-BE49-F238E27FC236}">
              <a16:creationId xmlns:a16="http://schemas.microsoft.com/office/drawing/2014/main" id="{00000000-0008-0000-0B00-00000D000000}"/>
            </a:ext>
          </a:extLst>
        </xdr:cNvPr>
        <xdr:cNvGrpSpPr/>
      </xdr:nvGrpSpPr>
      <xdr:grpSpPr>
        <a:xfrm>
          <a:off x="17734879" y="1155765"/>
          <a:ext cx="9869693" cy="3597222"/>
          <a:chOff x="12468282" y="1171751"/>
          <a:chExt cx="8752809" cy="3443526"/>
        </a:xfrm>
      </xdr:grpSpPr>
      <xdr:grpSp>
        <xdr:nvGrpSpPr>
          <xdr:cNvPr id="30" name="Group 29">
            <a:extLst>
              <a:ext uri="{FF2B5EF4-FFF2-40B4-BE49-F238E27FC236}">
                <a16:creationId xmlns:a16="http://schemas.microsoft.com/office/drawing/2014/main" id="{00000000-0008-0000-0B00-00001E000000}"/>
              </a:ext>
            </a:extLst>
          </xdr:cNvPr>
          <xdr:cNvGrpSpPr/>
        </xdr:nvGrpSpPr>
        <xdr:grpSpPr>
          <a:xfrm>
            <a:off x="12468282" y="1171751"/>
            <a:ext cx="8752809" cy="3443526"/>
            <a:chOff x="10755316" y="291956"/>
            <a:chExt cx="9140821" cy="3662506"/>
          </a:xfrm>
        </xdr:grpSpPr>
        <xdr:grpSp>
          <xdr:nvGrpSpPr>
            <xdr:cNvPr id="31" name="Group 30">
              <a:extLst>
                <a:ext uri="{FF2B5EF4-FFF2-40B4-BE49-F238E27FC236}">
                  <a16:creationId xmlns:a16="http://schemas.microsoft.com/office/drawing/2014/main" id="{00000000-0008-0000-0B00-00001F000000}"/>
                </a:ext>
              </a:extLst>
            </xdr:cNvPr>
            <xdr:cNvGrpSpPr/>
          </xdr:nvGrpSpPr>
          <xdr:grpSpPr>
            <a:xfrm>
              <a:off x="14409737" y="291956"/>
              <a:ext cx="5486400" cy="3662506"/>
              <a:chOff x="14409737" y="291956"/>
              <a:chExt cx="5486400" cy="3662506"/>
            </a:xfrm>
          </xdr:grpSpPr>
          <xdr:graphicFrame macro="">
            <xdr:nvGraphicFramePr>
              <xdr:cNvPr id="34" name="Chart 33">
                <a:extLst>
                  <a:ext uri="{FF2B5EF4-FFF2-40B4-BE49-F238E27FC236}">
                    <a16:creationId xmlns:a16="http://schemas.microsoft.com/office/drawing/2014/main" id="{00000000-0008-0000-0B00-000022000000}"/>
                  </a:ext>
                </a:extLst>
              </xdr:cNvPr>
              <xdr:cNvGraphicFramePr/>
            </xdr:nvGraphicFramePr>
            <xdr:xfrm>
              <a:off x="14409737" y="293687"/>
              <a:ext cx="1828800" cy="1831975"/>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39">
                <a:extLst>
                  <a:ext uri="{FF2B5EF4-FFF2-40B4-BE49-F238E27FC236}">
                    <a16:creationId xmlns:a16="http://schemas.microsoft.com/office/drawing/2014/main" id="{00000000-0008-0000-0B00-000028000000}"/>
                  </a:ext>
                </a:extLst>
              </xdr:cNvPr>
              <xdr:cNvGraphicFramePr/>
            </xdr:nvGraphicFramePr>
            <xdr:xfrm>
              <a:off x="16241712" y="293688"/>
              <a:ext cx="1828800" cy="1845903"/>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40">
                <a:extLst>
                  <a:ext uri="{FF2B5EF4-FFF2-40B4-BE49-F238E27FC236}">
                    <a16:creationId xmlns:a16="http://schemas.microsoft.com/office/drawing/2014/main" id="{00000000-0008-0000-0B00-000029000000}"/>
                  </a:ext>
                </a:extLst>
              </xdr:cNvPr>
              <xdr:cNvGraphicFramePr/>
            </xdr:nvGraphicFramePr>
            <xdr:xfrm>
              <a:off x="18070512" y="291956"/>
              <a:ext cx="1825625" cy="1847596"/>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41">
                <a:extLst>
                  <a:ext uri="{FF2B5EF4-FFF2-40B4-BE49-F238E27FC236}">
                    <a16:creationId xmlns:a16="http://schemas.microsoft.com/office/drawing/2014/main" id="{00000000-0008-0000-0B00-00002A000000}"/>
                  </a:ext>
                </a:extLst>
              </xdr:cNvPr>
              <xdr:cNvGraphicFramePr/>
            </xdr:nvGraphicFramePr>
            <xdr:xfrm>
              <a:off x="14409737" y="2125662"/>
              <a:ext cx="1831975" cy="18288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42">
                <a:extLst>
                  <a:ext uri="{FF2B5EF4-FFF2-40B4-BE49-F238E27FC236}">
                    <a16:creationId xmlns:a16="http://schemas.microsoft.com/office/drawing/2014/main" id="{00000000-0008-0000-0B00-00002B000000}"/>
                  </a:ext>
                </a:extLst>
              </xdr:cNvPr>
              <xdr:cNvGraphicFramePr/>
            </xdr:nvGraphicFramePr>
            <xdr:xfrm>
              <a:off x="18067337" y="2125662"/>
              <a:ext cx="1828800" cy="1825625"/>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3" name="Chart 32">
                <a:extLst>
                  <a:ext uri="{FF2B5EF4-FFF2-40B4-BE49-F238E27FC236}">
                    <a16:creationId xmlns:a16="http://schemas.microsoft.com/office/drawing/2014/main" id="{00000000-0008-0000-0B00-000021000000}"/>
                  </a:ext>
                </a:extLst>
              </xdr:cNvPr>
              <xdr:cNvGraphicFramePr/>
            </xdr:nvGraphicFramePr>
            <xdr:xfrm>
              <a:off x="16240126" y="2125662"/>
              <a:ext cx="1828800" cy="1828800"/>
            </xdr:xfrm>
            <a:graphic>
              <a:graphicData uri="http://schemas.openxmlformats.org/drawingml/2006/chart">
                <c:chart xmlns:c="http://schemas.openxmlformats.org/drawingml/2006/chart" xmlns:r="http://schemas.openxmlformats.org/officeDocument/2006/relationships" r:id="rId14"/>
              </a:graphicData>
            </a:graphic>
          </xdr:graphicFrame>
        </xdr:grpSp>
        <xdr:graphicFrame macro="">
          <xdr:nvGraphicFramePr>
            <xdr:cNvPr id="32" name="Chart 31">
              <a:extLst>
                <a:ext uri="{FF2B5EF4-FFF2-40B4-BE49-F238E27FC236}">
                  <a16:creationId xmlns:a16="http://schemas.microsoft.com/office/drawing/2014/main" id="{00000000-0008-0000-0B00-000020000000}"/>
                </a:ext>
              </a:extLst>
            </xdr:cNvPr>
            <xdr:cNvGraphicFramePr/>
          </xdr:nvGraphicFramePr>
          <xdr:xfrm>
            <a:off x="10755316" y="293687"/>
            <a:ext cx="3658926" cy="3660775"/>
          </xdr:xfrm>
          <a:graphic>
            <a:graphicData uri="http://schemas.openxmlformats.org/drawingml/2006/chart">
              <c:chart xmlns:c="http://schemas.openxmlformats.org/drawingml/2006/chart" xmlns:r="http://schemas.openxmlformats.org/officeDocument/2006/relationships" r:id="rId15"/>
            </a:graphicData>
          </a:graphic>
        </xdr:graphicFrame>
      </xdr:grpSp>
      <xdr:sp macro="" textlink="$AI$2">
        <xdr:nvSpPr>
          <xdr:cNvPr id="5" name="TextBox 4">
            <a:extLst>
              <a:ext uri="{FF2B5EF4-FFF2-40B4-BE49-F238E27FC236}">
                <a16:creationId xmlns:a16="http://schemas.microsoft.com/office/drawing/2014/main" id="{00000000-0008-0000-0B00-000005000000}"/>
              </a:ext>
            </a:extLst>
          </xdr:cNvPr>
          <xdr:cNvSpPr txBox="1"/>
        </xdr:nvSpPr>
        <xdr:spPr>
          <a:xfrm>
            <a:off x="16512037" y="2006735"/>
            <a:ext cx="869850" cy="372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B938D5F-8420-4DB6-984E-AF2BD67B56CF}" type="TxLink">
              <a:rPr lang="en-US" sz="2000" b="1" i="0" u="none" strike="noStrike">
                <a:solidFill>
                  <a:srgbClr val="000000"/>
                </a:solidFill>
                <a:latin typeface="Work Sans" pitchFamily="2" charset="0"/>
                <a:cs typeface="Arial"/>
              </a:rPr>
              <a:pPr/>
              <a:t>0/15</a:t>
            </a:fld>
            <a:endParaRPr lang="en-US" sz="2000" b="1">
              <a:latin typeface="Work Sans" pitchFamily="2" charset="0"/>
            </a:endParaRPr>
          </a:p>
        </xdr:txBody>
      </xdr:sp>
      <xdr:sp macro="" textlink="$AI$3">
        <xdr:nvSpPr>
          <xdr:cNvPr id="6" name="TextBox 5">
            <a:extLst>
              <a:ext uri="{FF2B5EF4-FFF2-40B4-BE49-F238E27FC236}">
                <a16:creationId xmlns:a16="http://schemas.microsoft.com/office/drawing/2014/main" id="{00000000-0008-0000-0B00-000006000000}"/>
              </a:ext>
            </a:extLst>
          </xdr:cNvPr>
          <xdr:cNvSpPr txBox="1"/>
        </xdr:nvSpPr>
        <xdr:spPr>
          <a:xfrm>
            <a:off x="18279899" y="2007600"/>
            <a:ext cx="791306" cy="380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82E46D2-58EF-456B-9746-B9851F6BAFB2}" type="TxLink">
              <a:rPr lang="en-US" sz="2000" b="1" i="0" u="none" strike="noStrike">
                <a:solidFill>
                  <a:srgbClr val="000000"/>
                </a:solidFill>
                <a:latin typeface="Work Sans" pitchFamily="2" charset="0"/>
                <a:cs typeface="Arial"/>
              </a:rPr>
              <a:pPr/>
              <a:t>0/15</a:t>
            </a:fld>
            <a:endParaRPr lang="en-US" sz="2000" b="1">
              <a:latin typeface="Work Sans" pitchFamily="2" charset="0"/>
            </a:endParaRPr>
          </a:p>
        </xdr:txBody>
      </xdr:sp>
      <xdr:sp macro="" textlink="$AI$6">
        <xdr:nvSpPr>
          <xdr:cNvPr id="11" name="TextBox 10">
            <a:extLst>
              <a:ext uri="{FF2B5EF4-FFF2-40B4-BE49-F238E27FC236}">
                <a16:creationId xmlns:a16="http://schemas.microsoft.com/office/drawing/2014/main" id="{00000000-0008-0000-0B00-00000B000000}"/>
              </a:ext>
            </a:extLst>
          </xdr:cNvPr>
          <xdr:cNvSpPr txBox="1"/>
        </xdr:nvSpPr>
        <xdr:spPr>
          <a:xfrm>
            <a:off x="18233338" y="3712780"/>
            <a:ext cx="877155" cy="372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62D40183-7D7B-473E-9729-AC6B37CE76FE}" type="TxLink">
              <a:rPr lang="en-US" sz="2000" b="1" i="0" u="none" strike="noStrike">
                <a:solidFill>
                  <a:srgbClr val="000000"/>
                </a:solidFill>
                <a:latin typeface="Work Sans" pitchFamily="2" charset="0"/>
                <a:cs typeface="Arial"/>
              </a:rPr>
              <a:pPr/>
              <a:t>0/15</a:t>
            </a:fld>
            <a:endParaRPr lang="en-US" sz="2000" b="1">
              <a:latin typeface="Work Sans" pitchFamily="2" charset="0"/>
            </a:endParaRPr>
          </a:p>
        </xdr:txBody>
      </xdr:sp>
    </xdr:grpSp>
    <xdr:clientData/>
  </xdr:twoCellAnchor>
  <xdr:twoCellAnchor editAs="oneCell">
    <xdr:from>
      <xdr:col>16</xdr:col>
      <xdr:colOff>163286</xdr:colOff>
      <xdr:row>112</xdr:row>
      <xdr:rowOff>45774</xdr:rowOff>
    </xdr:from>
    <xdr:to>
      <xdr:col>19</xdr:col>
      <xdr:colOff>57602</xdr:colOff>
      <xdr:row>116</xdr:row>
      <xdr:rowOff>995</xdr:rowOff>
    </xdr:to>
    <xdr:pic>
      <xdr:nvPicPr>
        <xdr:cNvPr id="26"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6"/>
        <a:stretch>
          <a:fillRect/>
        </a:stretch>
      </xdr:blipFill>
      <xdr:spPr>
        <a:xfrm>
          <a:off x="18492107" y="54161381"/>
          <a:ext cx="1826532" cy="1191030"/>
        </a:xfrm>
        <a:prstGeom prst="rect">
          <a:avLst/>
        </a:prstGeom>
      </xdr:spPr>
    </xdr:pic>
    <xdr:clientData/>
  </xdr:twoCellAnchor>
  <xdr:twoCellAnchor editAs="oneCell">
    <xdr:from>
      <xdr:col>19</xdr:col>
      <xdr:colOff>156029</xdr:colOff>
      <xdr:row>25</xdr:row>
      <xdr:rowOff>193675</xdr:rowOff>
    </xdr:from>
    <xdr:to>
      <xdr:col>24</xdr:col>
      <xdr:colOff>444525</xdr:colOff>
      <xdr:row>29</xdr:row>
      <xdr:rowOff>145846</xdr:rowOff>
    </xdr:to>
    <xdr:pic>
      <xdr:nvPicPr>
        <xdr:cNvPr id="14" name="Picture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7"/>
        <a:stretch>
          <a:fillRect/>
        </a:stretch>
      </xdr:blipFill>
      <xdr:spPr>
        <a:xfrm>
          <a:off x="16661493" y="10780032"/>
          <a:ext cx="3410881" cy="823031"/>
        </a:xfrm>
        <a:prstGeom prst="rect">
          <a:avLst/>
        </a:prstGeom>
      </xdr:spPr>
    </xdr:pic>
    <xdr:clientData/>
  </xdr:twoCellAnchor>
  <xdr:twoCellAnchor editAs="oneCell">
    <xdr:from>
      <xdr:col>19</xdr:col>
      <xdr:colOff>124077</xdr:colOff>
      <xdr:row>43</xdr:row>
      <xdr:rowOff>6806</xdr:rowOff>
    </xdr:from>
    <xdr:to>
      <xdr:col>25</xdr:col>
      <xdr:colOff>20889</xdr:colOff>
      <xdr:row>46</xdr:row>
      <xdr:rowOff>230214</xdr:rowOff>
    </xdr:to>
    <xdr:pic>
      <xdr:nvPicPr>
        <xdr:cNvPr id="16" name="Picture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7"/>
        <a:stretch>
          <a:fillRect/>
        </a:stretch>
      </xdr:blipFill>
      <xdr:spPr>
        <a:xfrm>
          <a:off x="20545677" y="27876956"/>
          <a:ext cx="3630612" cy="909208"/>
        </a:xfrm>
        <a:prstGeom prst="rect">
          <a:avLst/>
        </a:prstGeom>
      </xdr:spPr>
    </xdr:pic>
    <xdr:clientData/>
  </xdr:twoCellAnchor>
  <xdr:twoCellAnchor editAs="oneCell">
    <xdr:from>
      <xdr:col>19</xdr:col>
      <xdr:colOff>182336</xdr:colOff>
      <xdr:row>60</xdr:row>
      <xdr:rowOff>7257</xdr:rowOff>
    </xdr:from>
    <xdr:to>
      <xdr:col>24</xdr:col>
      <xdr:colOff>486707</xdr:colOff>
      <xdr:row>63</xdr:row>
      <xdr:rowOff>161725</xdr:rowOff>
    </xdr:to>
    <xdr:pic>
      <xdr:nvPicPr>
        <xdr:cNvPr id="18" name="Picture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7"/>
        <a:stretch>
          <a:fillRect/>
        </a:stretch>
      </xdr:blipFill>
      <xdr:spPr>
        <a:xfrm>
          <a:off x="20603936" y="32906607"/>
          <a:ext cx="3428571" cy="840268"/>
        </a:xfrm>
        <a:prstGeom prst="rect">
          <a:avLst/>
        </a:prstGeom>
      </xdr:spPr>
    </xdr:pic>
    <xdr:clientData/>
  </xdr:twoCellAnchor>
  <xdr:twoCellAnchor editAs="oneCell">
    <xdr:from>
      <xdr:col>19</xdr:col>
      <xdr:colOff>174172</xdr:colOff>
      <xdr:row>76</xdr:row>
      <xdr:rowOff>193221</xdr:rowOff>
    </xdr:from>
    <xdr:to>
      <xdr:col>24</xdr:col>
      <xdr:colOff>475368</xdr:colOff>
      <xdr:row>80</xdr:row>
      <xdr:rowOff>134962</xdr:rowOff>
    </xdr:to>
    <xdr:pic>
      <xdr:nvPicPr>
        <xdr:cNvPr id="19" name="Picture 18">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17"/>
        <a:stretch>
          <a:fillRect/>
        </a:stretch>
      </xdr:blipFill>
      <xdr:spPr>
        <a:xfrm>
          <a:off x="20595772" y="40464921"/>
          <a:ext cx="3425396" cy="837090"/>
        </a:xfrm>
        <a:prstGeom prst="rect">
          <a:avLst/>
        </a:prstGeom>
      </xdr:spPr>
    </xdr:pic>
    <xdr:clientData/>
  </xdr:twoCellAnchor>
  <xdr:twoCellAnchor editAs="oneCell">
    <xdr:from>
      <xdr:col>19</xdr:col>
      <xdr:colOff>130629</xdr:colOff>
      <xdr:row>93</xdr:row>
      <xdr:rowOff>164193</xdr:rowOff>
    </xdr:from>
    <xdr:to>
      <xdr:col>24</xdr:col>
      <xdr:colOff>428650</xdr:colOff>
      <xdr:row>97</xdr:row>
      <xdr:rowOff>102761</xdr:rowOff>
    </xdr:to>
    <xdr:pic>
      <xdr:nvPicPr>
        <xdr:cNvPr id="20" name="Picture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7"/>
        <a:stretch>
          <a:fillRect/>
        </a:stretch>
      </xdr:blipFill>
      <xdr:spPr>
        <a:xfrm>
          <a:off x="20552229" y="48017793"/>
          <a:ext cx="3419046" cy="837093"/>
        </a:xfrm>
        <a:prstGeom prst="rect">
          <a:avLst/>
        </a:prstGeom>
      </xdr:spPr>
    </xdr:pic>
    <xdr:clientData/>
  </xdr:twoCellAnchor>
  <xdr:twoCellAnchor>
    <xdr:from>
      <xdr:col>14</xdr:col>
      <xdr:colOff>22412</xdr:colOff>
      <xdr:row>11</xdr:row>
      <xdr:rowOff>1602441</xdr:rowOff>
    </xdr:from>
    <xdr:to>
      <xdr:col>27</xdr:col>
      <xdr:colOff>183340</xdr:colOff>
      <xdr:row>14</xdr:row>
      <xdr:rowOff>1736553</xdr:rowOff>
    </xdr:to>
    <xdr:graphicFrame macro="">
      <xdr:nvGraphicFramePr>
        <xdr:cNvPr id="2" name="Chart 9">
          <a:extLst>
            <a:ext uri="{FF2B5EF4-FFF2-40B4-BE49-F238E27FC236}">
              <a16:creationId xmlns:a16="http://schemas.microsoft.com/office/drawing/2014/main" id="{7795D97B-F115-4E95-838B-BDC4C3498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0.30742</cdr:x>
      <cdr:y>0.47609</cdr:y>
    </cdr:from>
    <cdr:to>
      <cdr:x>0.78443</cdr:x>
      <cdr:y>0.70792</cdr:y>
    </cdr:to>
    <cdr:sp macro="" textlink="Results!$AI$4">
      <cdr:nvSpPr>
        <cdr:cNvPr id="2" name="TextBox 1">
          <a:extLst xmlns:a="http://schemas.openxmlformats.org/drawingml/2006/main">
            <a:ext uri="{FF2B5EF4-FFF2-40B4-BE49-F238E27FC236}">
              <a16:creationId xmlns:a16="http://schemas.microsoft.com/office/drawing/2014/main" id="{5A701187-2FF1-82ED-FDAA-2432BC0F6B87}"/>
            </a:ext>
          </a:extLst>
        </cdr:cNvPr>
        <cdr:cNvSpPr txBox="1"/>
      </cdr:nvSpPr>
      <cdr:spPr>
        <a:xfrm xmlns:a="http://schemas.openxmlformats.org/drawingml/2006/main">
          <a:off x="557995" y="874624"/>
          <a:ext cx="865828" cy="4258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68C31369-1414-4814-94FA-A1DD41A8A01C}" type="TxLink">
            <a:rPr lang="en-US" sz="2000" b="1" i="0" u="none" strike="noStrike" kern="1200">
              <a:solidFill>
                <a:srgbClr val="000000"/>
              </a:solidFill>
              <a:latin typeface="Work Sans" pitchFamily="2" charset="0"/>
              <a:cs typeface="Arial"/>
            </a:rPr>
            <a:pPr/>
            <a:t>0/25</a:t>
          </a:fld>
          <a:endParaRPr lang="en-US" sz="2000" b="1" kern="1200">
            <a:latin typeface="Work Sans" pitchFamily="2"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0.29252</cdr:x>
      <cdr:y>0.48238</cdr:y>
    </cdr:from>
    <cdr:to>
      <cdr:x>0.80642</cdr:x>
      <cdr:y>0.69393</cdr:y>
    </cdr:to>
    <cdr:sp macro="" textlink="Results!$AI$5">
      <cdr:nvSpPr>
        <cdr:cNvPr id="2" name="TextBox 1">
          <a:extLst xmlns:a="http://schemas.openxmlformats.org/drawingml/2006/main">
            <a:ext uri="{FF2B5EF4-FFF2-40B4-BE49-F238E27FC236}">
              <a16:creationId xmlns:a16="http://schemas.microsoft.com/office/drawing/2014/main" id="{8B182FBD-3534-4C8E-6767-C7487B8E93B8}"/>
            </a:ext>
          </a:extLst>
        </cdr:cNvPr>
        <cdr:cNvSpPr txBox="1"/>
      </cdr:nvSpPr>
      <cdr:spPr>
        <a:xfrm xmlns:a="http://schemas.openxmlformats.org/drawingml/2006/main">
          <a:off x="532809" y="877171"/>
          <a:ext cx="936034" cy="3846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11C6C7F-7866-487F-9F3B-36871B3DBE1A}" type="TxLink">
            <a:rPr lang="en-US" sz="2000" b="1" i="0" u="none" strike="noStrike" kern="1200">
              <a:solidFill>
                <a:srgbClr val="000000"/>
              </a:solidFill>
              <a:latin typeface="Work Sans" pitchFamily="2" charset="0"/>
              <a:cs typeface="Arial"/>
            </a:rPr>
            <a:pPr/>
            <a:t>0/25</a:t>
          </a:fld>
          <a:endParaRPr lang="en-US" sz="2000" b="1" kern="1200">
            <a:latin typeface="Work Sans" pitchFamily="2"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0.3568</cdr:x>
      <cdr:y>0.46703</cdr:y>
    </cdr:from>
    <cdr:to>
      <cdr:x>0.72362</cdr:x>
      <cdr:y>0.67815</cdr:y>
    </cdr:to>
    <cdr:sp macro="" textlink="Results!$AI$7">
      <cdr:nvSpPr>
        <cdr:cNvPr id="3" name="TextBox 2">
          <a:extLst xmlns:a="http://schemas.openxmlformats.org/drawingml/2006/main">
            <a:ext uri="{FF2B5EF4-FFF2-40B4-BE49-F238E27FC236}">
              <a16:creationId xmlns:a16="http://schemas.microsoft.com/office/drawing/2014/main" id="{33083DAD-596E-5C39-6FB4-857C449F8376}"/>
            </a:ext>
          </a:extLst>
        </cdr:cNvPr>
        <cdr:cNvSpPr txBox="1"/>
      </cdr:nvSpPr>
      <cdr:spPr>
        <a:xfrm xmlns:a="http://schemas.openxmlformats.org/drawingml/2006/main">
          <a:off x="648759" y="847784"/>
          <a:ext cx="666970" cy="3832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A125733-F44C-4194-9120-A9AA2F7227C0}" type="TxLink">
            <a:rPr lang="en-US" sz="2000" b="1" i="0" u="none" strike="noStrike" kern="1200">
              <a:solidFill>
                <a:srgbClr val="000000"/>
              </a:solidFill>
              <a:latin typeface="Work Sans" pitchFamily="2" charset="0"/>
              <a:cs typeface="Arial"/>
            </a:rPr>
            <a:pPr/>
            <a:t>0/5</a:t>
          </a:fld>
          <a:endParaRPr lang="en-US" sz="2000" b="1" kern="1200">
            <a:latin typeface="Work Sans" pitchFamily="2"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0.3247</cdr:x>
      <cdr:y>0.48599</cdr:y>
    </cdr:from>
    <cdr:to>
      <cdr:x>0.76064</cdr:x>
      <cdr:y>0.65865</cdr:y>
    </cdr:to>
    <cdr:sp macro="" textlink="Results!$AI$8">
      <cdr:nvSpPr>
        <cdr:cNvPr id="2" name="TextBox 1">
          <a:extLst xmlns:a="http://schemas.openxmlformats.org/drawingml/2006/main">
            <a:ext uri="{FF2B5EF4-FFF2-40B4-BE49-F238E27FC236}">
              <a16:creationId xmlns:a16="http://schemas.microsoft.com/office/drawing/2014/main" id="{E44489A7-5269-6A14-D714-8A1674B8E8BC}"/>
            </a:ext>
          </a:extLst>
        </cdr:cNvPr>
        <cdr:cNvSpPr txBox="1"/>
      </cdr:nvSpPr>
      <cdr:spPr>
        <a:xfrm xmlns:a="http://schemas.openxmlformats.org/drawingml/2006/main">
          <a:off x="1181196" y="1769022"/>
          <a:ext cx="1585889" cy="6284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9FD63B7-4949-4379-8D48-4267ABBF28B9}" type="TxLink">
            <a:rPr lang="en-US" sz="3200" b="1" i="0" u="none" strike="noStrike" kern="1200">
              <a:solidFill>
                <a:srgbClr val="000000"/>
              </a:solidFill>
              <a:latin typeface="Work Sans" pitchFamily="2" charset="0"/>
              <a:cs typeface="Arial"/>
            </a:rPr>
            <a:pPr/>
            <a:t>0/100</a:t>
          </a:fld>
          <a:endParaRPr lang="en-US" sz="3200" b="1" kern="1200">
            <a:latin typeface="Work Sans" pitchFamily="2"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38</xdr:row>
      <xdr:rowOff>16110</xdr:rowOff>
    </xdr:from>
    <xdr:to>
      <xdr:col>1</xdr:col>
      <xdr:colOff>98227</xdr:colOff>
      <xdr:row>58</xdr:row>
      <xdr:rowOff>82551</xdr:rowOff>
    </xdr:to>
    <xdr:graphicFrame macro="">
      <xdr:nvGraphicFramePr>
        <xdr:cNvPr id="8"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73025</xdr:colOff>
      <xdr:row>39</xdr:row>
      <xdr:rowOff>85725</xdr:rowOff>
    </xdr:from>
    <xdr:to>
      <xdr:col>10</xdr:col>
      <xdr:colOff>368853</xdr:colOff>
      <xdr:row>62</xdr:row>
      <xdr:rowOff>15875</xdr:rowOff>
    </xdr:to>
    <xdr:graphicFrame macro="">
      <xdr:nvGraphicFramePr>
        <xdr:cNvPr id="9" name="Chart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58738</xdr:colOff>
      <xdr:row>37</xdr:row>
      <xdr:rowOff>150812</xdr:rowOff>
    </xdr:from>
    <xdr:to>
      <xdr:col>26</xdr:col>
      <xdr:colOff>58739</xdr:colOff>
      <xdr:row>60</xdr:row>
      <xdr:rowOff>84137</xdr:rowOff>
    </xdr:to>
    <xdr:grpSp>
      <xdr:nvGrpSpPr>
        <xdr:cNvPr id="13" name="Group 14">
          <a:extLst>
            <a:ext uri="{FF2B5EF4-FFF2-40B4-BE49-F238E27FC236}">
              <a16:creationId xmlns:a16="http://schemas.microsoft.com/office/drawing/2014/main" id="{00000000-0008-0000-1000-00000F000000}"/>
            </a:ext>
          </a:extLst>
        </xdr:cNvPr>
        <xdr:cNvGrpSpPr/>
      </xdr:nvGrpSpPr>
      <xdr:grpSpPr>
        <a:xfrm>
          <a:off x="15413038" y="6259512"/>
          <a:ext cx="9906001" cy="3730625"/>
          <a:chOff x="10755312" y="293687"/>
          <a:chExt cx="9140825" cy="3660775"/>
        </a:xfrm>
      </xdr:grpSpPr>
      <xdr:grpSp>
        <xdr:nvGrpSpPr>
          <xdr:cNvPr id="16" name="Group 11">
            <a:extLst>
              <a:ext uri="{FF2B5EF4-FFF2-40B4-BE49-F238E27FC236}">
                <a16:creationId xmlns:a16="http://schemas.microsoft.com/office/drawing/2014/main" id="{00000000-0008-0000-1000-00000C000000}"/>
              </a:ext>
            </a:extLst>
          </xdr:cNvPr>
          <xdr:cNvGrpSpPr/>
        </xdr:nvGrpSpPr>
        <xdr:grpSpPr>
          <a:xfrm>
            <a:off x="14409737" y="293687"/>
            <a:ext cx="5486400" cy="3660775"/>
            <a:chOff x="14409737" y="293687"/>
            <a:chExt cx="5486400" cy="3660775"/>
          </a:xfrm>
        </xdr:grpSpPr>
        <xdr:graphicFrame macro="">
          <xdr:nvGraphicFramePr>
            <xdr:cNvPr id="17" name="Chart 1">
              <a:extLst>
                <a:ext uri="{FF2B5EF4-FFF2-40B4-BE49-F238E27FC236}">
                  <a16:creationId xmlns:a16="http://schemas.microsoft.com/office/drawing/2014/main" id="{00000000-0008-0000-1000-000002000000}"/>
                </a:ext>
              </a:extLst>
            </xdr:cNvPr>
            <xdr:cNvGraphicFramePr/>
          </xdr:nvGraphicFramePr>
          <xdr:xfrm>
            <a:off x="16240126" y="2125662"/>
            <a:ext cx="1828800" cy="18288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8" name="Chart 2">
              <a:extLst>
                <a:ext uri="{FF2B5EF4-FFF2-40B4-BE49-F238E27FC236}">
                  <a16:creationId xmlns:a16="http://schemas.microsoft.com/office/drawing/2014/main" id="{00000000-0008-0000-1000-000003000000}"/>
                </a:ext>
              </a:extLst>
            </xdr:cNvPr>
            <xdr:cNvGraphicFramePr/>
          </xdr:nvGraphicFramePr>
          <xdr:xfrm>
            <a:off x="14409737" y="293687"/>
            <a:ext cx="1828800" cy="183197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9" name="Chart 5">
              <a:extLst>
                <a:ext uri="{FF2B5EF4-FFF2-40B4-BE49-F238E27FC236}">
                  <a16:creationId xmlns:a16="http://schemas.microsoft.com/office/drawing/2014/main" id="{00000000-0008-0000-1000-000006000000}"/>
                </a:ext>
              </a:extLst>
            </xdr:cNvPr>
            <xdr:cNvGraphicFramePr/>
          </xdr:nvGraphicFramePr>
          <xdr:xfrm>
            <a:off x="16241712" y="293687"/>
            <a:ext cx="1828800" cy="18288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0" name="Chart 6">
              <a:extLst>
                <a:ext uri="{FF2B5EF4-FFF2-40B4-BE49-F238E27FC236}">
                  <a16:creationId xmlns:a16="http://schemas.microsoft.com/office/drawing/2014/main" id="{00000000-0008-0000-1000-000007000000}"/>
                </a:ext>
              </a:extLst>
            </xdr:cNvPr>
            <xdr:cNvGraphicFramePr/>
          </xdr:nvGraphicFramePr>
          <xdr:xfrm>
            <a:off x="18070512" y="296862"/>
            <a:ext cx="1825625" cy="18288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1" name="Chart 9">
              <a:extLst>
                <a:ext uri="{FF2B5EF4-FFF2-40B4-BE49-F238E27FC236}">
                  <a16:creationId xmlns:a16="http://schemas.microsoft.com/office/drawing/2014/main" id="{00000000-0008-0000-1000-00000A000000}"/>
                </a:ext>
              </a:extLst>
            </xdr:cNvPr>
            <xdr:cNvGraphicFramePr/>
          </xdr:nvGraphicFramePr>
          <xdr:xfrm>
            <a:off x="14409737" y="2125662"/>
            <a:ext cx="1831975" cy="18288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22" name="Chart 10">
              <a:extLst>
                <a:ext uri="{FF2B5EF4-FFF2-40B4-BE49-F238E27FC236}">
                  <a16:creationId xmlns:a16="http://schemas.microsoft.com/office/drawing/2014/main" id="{00000000-0008-0000-1000-00000B000000}"/>
                </a:ext>
              </a:extLst>
            </xdr:cNvPr>
            <xdr:cNvGraphicFramePr/>
          </xdr:nvGraphicFramePr>
          <xdr:xfrm>
            <a:off x="18067337" y="2125662"/>
            <a:ext cx="1828800" cy="1825625"/>
          </xdr:xfrm>
          <a:graphic>
            <a:graphicData uri="http://schemas.openxmlformats.org/drawingml/2006/chart">
              <c:chart xmlns:c="http://schemas.openxmlformats.org/drawingml/2006/chart" xmlns:r="http://schemas.openxmlformats.org/officeDocument/2006/relationships" r:id="rId8"/>
            </a:graphicData>
          </a:graphic>
        </xdr:graphicFrame>
      </xdr:grpSp>
      <xdr:graphicFrame macro="">
        <xdr:nvGraphicFramePr>
          <xdr:cNvPr id="23" name="Chart 13">
            <a:extLst>
              <a:ext uri="{FF2B5EF4-FFF2-40B4-BE49-F238E27FC236}">
                <a16:creationId xmlns:a16="http://schemas.microsoft.com/office/drawing/2014/main" id="{00000000-0008-0000-1000-00000E000000}"/>
              </a:ext>
            </a:extLst>
          </xdr:cNvPr>
          <xdr:cNvGraphicFramePr/>
        </xdr:nvGraphicFramePr>
        <xdr:xfrm>
          <a:off x="10755312" y="293687"/>
          <a:ext cx="3657600" cy="3660775"/>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415925</xdr:colOff>
      <xdr:row>28</xdr:row>
      <xdr:rowOff>103043</xdr:rowOff>
    </xdr:from>
    <xdr:to>
      <xdr:col>6</xdr:col>
      <xdr:colOff>163195</xdr:colOff>
      <xdr:row>61</xdr:row>
      <xdr:rowOff>116505</xdr:rowOff>
    </xdr:to>
    <xdr:graphicFrame macro="">
      <xdr:nvGraphicFramePr>
        <xdr:cNvPr id="2" name="Chart 9">
          <a:extLst>
            <a:ext uri="{FF2B5EF4-FFF2-40B4-BE49-F238E27FC236}">
              <a16:creationId xmlns:a16="http://schemas.microsoft.com/office/drawing/2014/main" id="{929FAAE1-8F25-4D96-9D1E-9A38A1307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40821</xdr:colOff>
      <xdr:row>0</xdr:row>
      <xdr:rowOff>0</xdr:rowOff>
    </xdr:from>
    <xdr:to>
      <xdr:col>1</xdr:col>
      <xdr:colOff>792505</xdr:colOff>
      <xdr:row>0</xdr:row>
      <xdr:rowOff>750981</xdr:rowOff>
    </xdr:to>
    <xdr:pic>
      <xdr:nvPicPr>
        <xdr:cNvPr id="8" name="Picture 7" descr="File:DOE Seal Color.svg">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0"/>
          <a:ext cx="754859" cy="754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15199178</xdr:colOff>
      <xdr:row>0</xdr:row>
      <xdr:rowOff>0</xdr:rowOff>
    </xdr:from>
    <xdr:to>
      <xdr:col>5</xdr:col>
      <xdr:colOff>774368</xdr:colOff>
      <xdr:row>0</xdr:row>
      <xdr:rowOff>762151</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23472321" y="0"/>
          <a:ext cx="1822118" cy="762151"/>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17" Type="http://schemas.openxmlformats.org/officeDocument/2006/relationships/hyperlink" Target="https://web.archive.org/web/20250411173034/https:/betterbuildingssolutioncenter.energy.gov/sites/default/files/attachments/Demand%20Response%20in%20Industrial%20Manufacturing_Final%20V2.pdf" TargetMode="External"/><Relationship Id="rId21" Type="http://schemas.openxmlformats.org/officeDocument/2006/relationships/hyperlink" Target="https://liftoff.energy.gov/" TargetMode="External"/><Relationship Id="rId42" Type="http://schemas.openxmlformats.org/officeDocument/2006/relationships/hyperlink" Target="https://afdc.energy.gov/" TargetMode="External"/><Relationship Id="rId63" Type="http://schemas.openxmlformats.org/officeDocument/2006/relationships/hyperlink" Target="https://liftoff.energy.gov/clean-hydrogen/" TargetMode="External"/><Relationship Id="rId84" Type="http://schemas.openxmlformats.org/officeDocument/2006/relationships/hyperlink" Target="https://betterbuildingssolutioncenter.energy.gov/better-plants/partner-recognition" TargetMode="External"/><Relationship Id="rId138" Type="http://schemas.openxmlformats.org/officeDocument/2006/relationships/drawing" Target="../drawings/drawing12.xml"/><Relationship Id="rId16" Type="http://schemas.openxmlformats.org/officeDocument/2006/relationships/hyperlink" Target="https://sciencebasedtargets.org/resources/files/Supplier-Engagement-Guidance.pdf" TargetMode="External"/><Relationship Id="rId107" Type="http://schemas.openxmlformats.org/officeDocument/2006/relationships/hyperlink" Target="https://web.archive.org/web/20250411171302/https:/www.renewablethermal.org/case-study-webinar-recording-astrazeneca-amp-vanguard-renewables-u-s-rng-agreement/" TargetMode="External"/><Relationship Id="rId11" Type="http://schemas.openxmlformats.org/officeDocument/2006/relationships/hyperlink" Target="https://sciencebasedtargets.org/net-zero" TargetMode="External"/><Relationship Id="rId32" Type="http://schemas.openxmlformats.org/officeDocument/2006/relationships/hyperlink" Target="https://betterbuildingssolutioncenter.energy.gov/resources/electrification-working-group" TargetMode="External"/><Relationship Id="rId37" Type="http://schemas.openxmlformats.org/officeDocument/2006/relationships/hyperlink" Target="https://www.epa.gov/sites/default/files/2021-02/documents/transitioning_to_low-gwp_alternatives_in_res_and_com_ac_chillers.pdf" TargetMode="External"/><Relationship Id="rId53" Type="http://schemas.openxmlformats.org/officeDocument/2006/relationships/hyperlink" Target="https://www.epa.gov/sites/default/files/2020-12/documents/electricityemissions.pdf" TargetMode="External"/><Relationship Id="rId58" Type="http://schemas.openxmlformats.org/officeDocument/2006/relationships/hyperlink" Target="https://kpmg.com/kpmg-us/content/dam/kpmg/pdf/2023/how-to-get-internal-carbon-pricing-right.pdf" TargetMode="External"/><Relationship Id="rId74" Type="http://schemas.openxmlformats.org/officeDocument/2006/relationships/hyperlink" Target="https://betterbuildingssolutioncenter.energy.gov/implementation-models/nissan-north-america-funds-energy-efficiency-projects-modified-payback" TargetMode="External"/><Relationship Id="rId79" Type="http://schemas.openxmlformats.org/officeDocument/2006/relationships/hyperlink" Target="https://www.cov.com/-/media/files/corporate/sustainability-toolkit/sustainability-toolkit-corporate-strategy-for-sustainable-energy-procurement.pdf" TargetMode="External"/><Relationship Id="rId102" Type="http://schemas.openxmlformats.org/officeDocument/2006/relationships/hyperlink" Target="https://web.archive.org/web/20250411165959/https:/betterbuildingssolutioncenter.energy.gov/efficiency/energy-efficiency/tech" TargetMode="External"/><Relationship Id="rId123" Type="http://schemas.openxmlformats.org/officeDocument/2006/relationships/hyperlink" Target="https://web.archive.org/web/20250411174248/https:/kpmg.com/kpmg-us/content/dam/kpmg/pdf/2023/how-to-get-internal-carbon-pricing-right.pdf" TargetMode="External"/><Relationship Id="rId128" Type="http://schemas.openxmlformats.org/officeDocument/2006/relationships/hyperlink" Target="https://web.archive.org/web/20250411174913/https:/www.icmagroup.org/assets/documents/Sustainable-finance/2022-updates/Green-Bond-Principles-June-2022-060623.pdf" TargetMode="External"/><Relationship Id="rId5" Type="http://schemas.openxmlformats.org/officeDocument/2006/relationships/hyperlink" Target="https://www.epa.gov/sites/default/files/2020-12/documents/stationaryemissions.pdf" TargetMode="External"/><Relationship Id="rId90" Type="http://schemas.openxmlformats.org/officeDocument/2006/relationships/hyperlink" Target="https://web.archive.org/web/20250411163350/https:/www.epa.gov/sites/default/files/2020-12/documents/fugitiveemissions.pdf" TargetMode="External"/><Relationship Id="rId95" Type="http://schemas.openxmlformats.org/officeDocument/2006/relationships/hyperlink" Target="https://web.archive.org/web/20250411163954/https:/www.there100.org/technical-guidance" TargetMode="External"/><Relationship Id="rId22" Type="http://schemas.openxmlformats.org/officeDocument/2006/relationships/hyperlink" Target="https://betterbuildingssolutioncenter.energy.gov/efficiency/energy-efficiency/tech" TargetMode="External"/><Relationship Id="rId27" Type="http://schemas.openxmlformats.org/officeDocument/2006/relationships/hyperlink" Target="https://liftoff.energy.gov/" TargetMode="External"/><Relationship Id="rId43" Type="http://schemas.openxmlformats.org/officeDocument/2006/relationships/hyperlink" Target="https://betterbuildingssolutioncenter.energy.gov/sites/default/files/attachments/Demand%20Response%20in%20Industrial%20Manufacturing_Final%20V2.pdf" TargetMode="External"/><Relationship Id="rId48" Type="http://schemas.openxmlformats.org/officeDocument/2006/relationships/hyperlink" Target="https://www.accountingforsustainability.org/content/dam/a4s/corporate/home/KnowledgeHub/Guide-pdf/A4S%20Guide%20to%20TCFD%20Climate%20Scenario%20Analysis.pdf.downloadasset.pdf" TargetMode="External"/><Relationship Id="rId64" Type="http://schemas.openxmlformats.org/officeDocument/2006/relationships/hyperlink" Target="https://help.cdp.net/en-us/knowledgebase/article/KA-01025" TargetMode="External"/><Relationship Id="rId69" Type="http://schemas.openxmlformats.org/officeDocument/2006/relationships/hyperlink" Target="https://betterbuildingssolutioncenter.energy.gov/financing-navigator/allies" TargetMode="External"/><Relationship Id="rId113" Type="http://schemas.openxmlformats.org/officeDocument/2006/relationships/hyperlink" Target="https://web.archive.org/web/20250411172401/https:/betterbuildingssolutioncenter.energy.gov/better%20plants/better-plants-resource-library" TargetMode="External"/><Relationship Id="rId118" Type="http://schemas.openxmlformats.org/officeDocument/2006/relationships/hyperlink" Target="https://web.archive.org/web/20250411173054/https:/betterbuildingssolutioncenter.energy.gov/onsite-energy/chp-deployment-resources" TargetMode="External"/><Relationship Id="rId134" Type="http://schemas.openxmlformats.org/officeDocument/2006/relationships/hyperlink" Target="https://web.archive.org/web/20250411175903/https:/www.nrel.gov/docs/fy25osti/92410.pdf" TargetMode="External"/><Relationship Id="rId80" Type="http://schemas.openxmlformats.org/officeDocument/2006/relationships/hyperlink" Target="https://www.cov.com/-/media/files/corporate/sustainability-toolkit/sustainability-toolkit-corporate-strategy-for-sustainable-energy-procurement.pdf" TargetMode="External"/><Relationship Id="rId85" Type="http://schemas.openxmlformats.org/officeDocument/2006/relationships/hyperlink" Target="https://www.energystar.gov/industrial_plants/earn-recognition/plant-certification" TargetMode="External"/><Relationship Id="rId12" Type="http://schemas.openxmlformats.org/officeDocument/2006/relationships/hyperlink" Target="https://betterbuildingssolutioncenter.energy.gov/sites/default/files/attachments/Energy%20Intensity%20Baselining%20and%20Tracking%20Guidance%202020.pdf" TargetMode="External"/><Relationship Id="rId17" Type="http://schemas.openxmlformats.org/officeDocument/2006/relationships/hyperlink" Target="https://www1.eere.energy.gov/manufacturing/eguide/iso_step_2_5.html" TargetMode="External"/><Relationship Id="rId33" Type="http://schemas.openxmlformats.org/officeDocument/2006/relationships/hyperlink" Target="https://betterbuildingssolutioncenter.energy.gov/sites/default/files/2024-04/2024Summit-15toPhasedown_ReplacingHFCs_Refrigerants-Slides.pdf" TargetMode="External"/><Relationship Id="rId38" Type="http://schemas.openxmlformats.org/officeDocument/2006/relationships/hyperlink" Target="https://betterbuildingssolutioncenter.energy.gov/sites/default/files/2024-04/2024Summit-15toPhasedown_ReplacingHFCs_Refrigerants-Slides.pdf" TargetMode="External"/><Relationship Id="rId59" Type="http://schemas.openxmlformats.org/officeDocument/2006/relationships/hyperlink" Target="https://kpmg.com/kpmg-us/content/dam/kpmg/pdf/2023/how-to-get-internal-carbon-pricing-right.pdf" TargetMode="External"/><Relationship Id="rId103" Type="http://schemas.openxmlformats.org/officeDocument/2006/relationships/hyperlink" Target="https://web.archive.org/web/20250411170626/https:/betterbuildingssolutioncenter.energy.gov/efficiency/electrification" TargetMode="External"/><Relationship Id="rId108" Type="http://schemas.openxmlformats.org/officeDocument/2006/relationships/hyperlink" Target="https://web.archive.org/web/20250411171637/https:/www.iea.org/energy-system/carbon-capture-utilisation-and-storage" TargetMode="External"/><Relationship Id="rId124" Type="http://schemas.openxmlformats.org/officeDocument/2006/relationships/hyperlink" Target="https://web.archive.org/web/20250411174311/https:/betterbuildingssolutioncenter.energy.gov/implementation-models/nissan-north-america-funds-energy-efficiency-projects-modified-payback" TargetMode="External"/><Relationship Id="rId129" Type="http://schemas.openxmlformats.org/officeDocument/2006/relationships/hyperlink" Target="https://web.archive.org/web/20250411175334/https:/betterbuildingssolutioncenter.energy.gov/implementation-models/electrolux-group-driving-climate-action-through-green-financing-framework-and" TargetMode="External"/><Relationship Id="rId54" Type="http://schemas.openxmlformats.org/officeDocument/2006/relationships/hyperlink" Target="https://www.sustainability.com/globalassets/sustainability.com/thinking/pdfs/sa-common-threads-full-report.pdf" TargetMode="External"/><Relationship Id="rId70" Type="http://schemas.openxmlformats.org/officeDocument/2006/relationships/hyperlink" Target="https://betterbuildingssolutioncenter.energy.gov/implementation-models/general-motors-energy-and-carbon-optimization-toolbox" TargetMode="External"/><Relationship Id="rId75" Type="http://schemas.openxmlformats.org/officeDocument/2006/relationships/hyperlink" Target="https://kpmg.com/kpmg-us/content/dam/kpmg/pdf/2023/how-to-get-internal-carbon-pricing-right.pdf" TargetMode="External"/><Relationship Id="rId91" Type="http://schemas.openxmlformats.org/officeDocument/2006/relationships/hyperlink" Target="https://web.archive.org/web/20250411163335/https:/www.epa.gov/sites/default/files/2020-12/documents/mobileemissions.pdf" TargetMode="External"/><Relationship Id="rId96" Type="http://schemas.openxmlformats.org/officeDocument/2006/relationships/hyperlink" Target="https://betterbuildingssolutioncenter.energy.gov/sites/default/files/attachments/Energy%20Intensity%20Baselining%20and%20Tracking%20Guidance%202020.pdf" TargetMode="External"/><Relationship Id="rId1" Type="http://schemas.openxmlformats.org/officeDocument/2006/relationships/hyperlink" Target="https://www.epa.gov/sites/default/files/2020-12/documents/stationaryemissions.pdf" TargetMode="External"/><Relationship Id="rId6" Type="http://schemas.openxmlformats.org/officeDocument/2006/relationships/hyperlink" Target="https://www.epa.gov/sites/default/files/2020-12/documents/fugitiveemissions.pdf" TargetMode="External"/><Relationship Id="rId23" Type="http://schemas.openxmlformats.org/officeDocument/2006/relationships/hyperlink" Target="https://betterbuildingssolutioncenter.energy.gov/efficiency/electrification" TargetMode="External"/><Relationship Id="rId28" Type="http://schemas.openxmlformats.org/officeDocument/2006/relationships/hyperlink" Target="https://betterbuildingssolutioncenter.energy.gov/better-plants/better-plants-trainings" TargetMode="External"/><Relationship Id="rId49" Type="http://schemas.openxmlformats.org/officeDocument/2006/relationships/hyperlink" Target="https://www.fsb-tcfd.org/recommendations/" TargetMode="External"/><Relationship Id="rId114" Type="http://schemas.openxmlformats.org/officeDocument/2006/relationships/hyperlink" Target="https://web.archive.org/web/20250411172540/https:/betterbuildingssolutioncenter.energy.gov/implementation-models/general-motors-energy-and-carbon-optimization-toolbox" TargetMode="External"/><Relationship Id="rId119" Type="http://schemas.openxmlformats.org/officeDocument/2006/relationships/hyperlink" Target="https://web.archive.org/web/20250411173323/https:/www.energy.gov/sites/default/files/2022-09/Industrial%20Decarbonization%20Roadmap.pdf" TargetMode="External"/><Relationship Id="rId44" Type="http://schemas.openxmlformats.org/officeDocument/2006/relationships/hyperlink" Target="https://betterbuildingssolutioncenter.energy.gov/industrial-technology-validation-program" TargetMode="External"/><Relationship Id="rId60" Type="http://schemas.openxmlformats.org/officeDocument/2006/relationships/hyperlink" Target="https://betterbuildingssolutioncenter.energy.gov/financing-navigator/primer/industrial-energy-financing-primer" TargetMode="External"/><Relationship Id="rId65" Type="http://schemas.openxmlformats.org/officeDocument/2006/relationships/hyperlink" Target="https://www.edf.org/sites/default/files/documents/MACC_2.0%20report_Evolved_EDF.pdf" TargetMode="External"/><Relationship Id="rId81" Type="http://schemas.openxmlformats.org/officeDocument/2006/relationships/hyperlink" Target="https://www.icmagroup.org/assets/documents/Sustainable-finance/2022-updates/Green-Bond-Principles-June-2022-060623.pdf" TargetMode="External"/><Relationship Id="rId86" Type="http://schemas.openxmlformats.org/officeDocument/2006/relationships/hyperlink" Target="https://web.archive.org/web/20250411160651/https:/www.sustainability.com/globalassets/sustainability.com/thinking/pdfs/sa-common-threads-full-report.pdf" TargetMode="External"/><Relationship Id="rId130" Type="http://schemas.openxmlformats.org/officeDocument/2006/relationships/hyperlink" Target="https://web.archive.org/web/20250411175342/https:/betterbuildingssolutioncenter.energy.gov/better-plants/partner-recognition" TargetMode="External"/><Relationship Id="rId135" Type="http://schemas.openxmlformats.org/officeDocument/2006/relationships/hyperlink" Target="https://web.archive.org/web/20250411180252/https:/help.cdp.net/en-us/knowledgebase/article/KA-01025" TargetMode="External"/><Relationship Id="rId13" Type="http://schemas.openxmlformats.org/officeDocument/2006/relationships/hyperlink" Target="https://sciencebasedtargets.org/resources/files/Supplier-Engagement-Guidance.pdf" TargetMode="External"/><Relationship Id="rId18" Type="http://schemas.openxmlformats.org/officeDocument/2006/relationships/hyperlink" Target="https://www.energystar.gov/buildings/tools-and-resources/benchmarking-industrial-energy-performance" TargetMode="External"/><Relationship Id="rId39" Type="http://schemas.openxmlformats.org/officeDocument/2006/relationships/hyperlink" Target="https://betterbuildingssolutioncenter.energy.gov/sites/default/files/attachments/PortfolioPrioritization_Onsite.pdf" TargetMode="External"/><Relationship Id="rId109" Type="http://schemas.openxmlformats.org/officeDocument/2006/relationships/hyperlink" Target="https://web.archive.org/web/20250411171710/https:/www.epa.gov/sites/default/files/2021-02/documents/transitioning_to_low-gwp_alternatives_in_res_and_com_ac_chillers.pdf" TargetMode="External"/><Relationship Id="rId34" Type="http://schemas.openxmlformats.org/officeDocument/2006/relationships/hyperlink" Target="https://betterbuildingssolutioncenter.energy.gov/sites/default/files/tools/4519539_RTX%20Energy%20BMP%20Guidebook_Interactive_10-2022.pdf" TargetMode="External"/><Relationship Id="rId50" Type="http://schemas.openxmlformats.org/officeDocument/2006/relationships/hyperlink" Target="https://www.energy.gov/sites/default/files/2022-09/Industrial%20Decarbonization%20Roadmap.pdf" TargetMode="External"/><Relationship Id="rId55" Type="http://schemas.openxmlformats.org/officeDocument/2006/relationships/hyperlink" Target="https://www.sustainability.com/globalassets/sustainability.com/thinking/pdfs/sa-common-threads-full-report.pdf" TargetMode="External"/><Relationship Id="rId76" Type="http://schemas.openxmlformats.org/officeDocument/2006/relationships/hyperlink" Target="https://betterbuildingssolutioncenter.energy.gov/implementation-models/energy-champions-all-plants" TargetMode="External"/><Relationship Id="rId97" Type="http://schemas.openxmlformats.org/officeDocument/2006/relationships/hyperlink" Target="https://web.archive.org/web/20250411164558/https:/sciencebasedtargets.org/resources/files/Supplier-Engagement-Guidance.pdf" TargetMode="External"/><Relationship Id="rId104" Type="http://schemas.openxmlformats.org/officeDocument/2006/relationships/hyperlink" Target="https://web.archive.org/web/20250411180657/https:/betterbuildingssolutioncenter.energy.gov/sites/default/files/attachments/Electrification%20Planning%20Working%20Group.pdf" TargetMode="External"/><Relationship Id="rId120" Type="http://schemas.openxmlformats.org/officeDocument/2006/relationships/hyperlink" Target="https://web.archive.org/web/20250411173512/https:/betterbuildingssolutioncenter.energy.gov/industrial-technology-validation-program" TargetMode="External"/><Relationship Id="rId125" Type="http://schemas.openxmlformats.org/officeDocument/2006/relationships/hyperlink" Target="https://web.archive.org/web/20250411174549/https:/betterbuildingssolutioncenter.energy.gov/implementation-models/energy-champions-all-plants" TargetMode="External"/><Relationship Id="rId7" Type="http://schemas.openxmlformats.org/officeDocument/2006/relationships/hyperlink" Target="https://www.epa.gov/sites/default/files/2020-12/documents/mobileemissions.pdf" TargetMode="External"/><Relationship Id="rId71" Type="http://schemas.openxmlformats.org/officeDocument/2006/relationships/hyperlink" Target="https://bptraining.ornl.gov/" TargetMode="External"/><Relationship Id="rId92" Type="http://schemas.openxmlformats.org/officeDocument/2006/relationships/hyperlink" Target="https://web.archive.org/web/20250411163505/https:/www.epa.gov/sites/default/files/2020-12/documents/electricityemissions.pdf" TargetMode="External"/><Relationship Id="rId2" Type="http://schemas.openxmlformats.org/officeDocument/2006/relationships/hyperlink" Target="https://www.epa.gov/sites/default/files/2020-12/documents/mobileemissions.pdf" TargetMode="External"/><Relationship Id="rId29" Type="http://schemas.openxmlformats.org/officeDocument/2006/relationships/hyperlink" Target="https://www.epa.gov/sites/default/files/2021-02/documents/transitioning_to_low-gwp_alternatives_in_res_and_com_ac_chillers.pdf" TargetMode="External"/><Relationship Id="rId24" Type="http://schemas.openxmlformats.org/officeDocument/2006/relationships/hyperlink" Target="https://betterbuildingssolutioncenter.energy.gov/sites/default/files/Low%20Emissions%20Alt%20Fact%20Sheet.pdf" TargetMode="External"/><Relationship Id="rId40" Type="http://schemas.openxmlformats.org/officeDocument/2006/relationships/hyperlink" Target="https://betterbuildingssolutioncenter.energy.gov/better%20plants/better-plants-resource-library" TargetMode="External"/><Relationship Id="rId45" Type="http://schemas.openxmlformats.org/officeDocument/2006/relationships/hyperlink" Target="https://betterbuildingssolutioncenter.energy.gov/onsite-energy/chp-deployment-resources" TargetMode="External"/><Relationship Id="rId66" Type="http://schemas.openxmlformats.org/officeDocument/2006/relationships/hyperlink" Target="https://www.nrel.gov/docs/fy25osti/92410.pdf" TargetMode="External"/><Relationship Id="rId87" Type="http://schemas.openxmlformats.org/officeDocument/2006/relationships/hyperlink" Target="https://web.archive.org/web/20250411162423/https:/www.accountingforsustainability.org/content/dam/a4s/corporate/home/KnowledgeHub/Guide-pdf/A4S%20Enhancing%20Investor%20Engagement%20Maturity%20Map.pdf.downloadasset.pdf" TargetMode="External"/><Relationship Id="rId110" Type="http://schemas.openxmlformats.org/officeDocument/2006/relationships/hyperlink" Target="https://web.archive.org/web/20250411165949/https:/liftoff.energy.gov/" TargetMode="External"/><Relationship Id="rId115" Type="http://schemas.openxmlformats.org/officeDocument/2006/relationships/hyperlink" Target="https://web.archive.org/web/20250411172806/https:/betterbuildingssolutioncenter.energy.gov/renewables" TargetMode="External"/><Relationship Id="rId131" Type="http://schemas.openxmlformats.org/officeDocument/2006/relationships/hyperlink" Target="https://web.archive.org/web/20250411175622/https:/www.energystar.gov/industrial_plants/earn-recognition/plant-certification" TargetMode="External"/><Relationship Id="rId136" Type="http://schemas.openxmlformats.org/officeDocument/2006/relationships/hyperlink" Target="https://web.archive.org/web/20250411180432/https:/betterbuildingssolutioncenter.energy.gov/sites/default/files/attachments/PortfolioPrioritization_Onsite.pdf" TargetMode="External"/><Relationship Id="rId61" Type="http://schemas.openxmlformats.org/officeDocument/2006/relationships/hyperlink" Target="https://liftoff.energy.gov/wp-content/uploads/2025/01/20230321-H2-Pathways-to-Commercial-Liftoff-Webinar-vF_web_Feb-2025.pdf" TargetMode="External"/><Relationship Id="rId82" Type="http://schemas.openxmlformats.org/officeDocument/2006/relationships/hyperlink" Target="https://www.icmagroup.org/assets/documents/Sustainable-finance/2022-updates/Green-Bond-Principles-June-2022-060623.pdf" TargetMode="External"/><Relationship Id="rId19" Type="http://schemas.openxmlformats.org/officeDocument/2006/relationships/hyperlink" Target="https://betterbuildingssolutioncenter.energy.gov/sites/default/files/tools/4519539_RTX%20Energy%20BMP%20Guidebook_Interactive_10-2022.pdf" TargetMode="External"/><Relationship Id="rId14" Type="http://schemas.openxmlformats.org/officeDocument/2006/relationships/hyperlink" Target="https://sciencebasedtargets.org/resources/files/Net-Zero-Standard-Criteria.pdf" TargetMode="External"/><Relationship Id="rId30" Type="http://schemas.openxmlformats.org/officeDocument/2006/relationships/hyperlink" Target="https://www.iea.org/energy-system/carbon-capture-utilisation-and-storage" TargetMode="External"/><Relationship Id="rId35" Type="http://schemas.openxmlformats.org/officeDocument/2006/relationships/hyperlink" Target="https://betterbuildingssolutioncenter.energy.gov/sites/default/files/attachments/Electrification%20Planning%20Working%20Group.pdf" TargetMode="External"/><Relationship Id="rId56" Type="http://schemas.openxmlformats.org/officeDocument/2006/relationships/hyperlink" Target="https://www.accountingforsustainability.org/content/dam/a4s/corporate/home/KnowledgeHub/Guide-pdf/A4S%20Enhancing%20Investor%20Engagement%20Maturity%20Map.pdf.downloadasset.pdf" TargetMode="External"/><Relationship Id="rId77" Type="http://schemas.openxmlformats.org/officeDocument/2006/relationships/hyperlink" Target="https://betterbuildingssolutioncenter.energy.gov/implementation-models/celanese-corporation-raising-energy-engagement-plant-operations-teams-energy" TargetMode="External"/><Relationship Id="rId100" Type="http://schemas.openxmlformats.org/officeDocument/2006/relationships/hyperlink" Target="https://web.archive.org/web/20250411165233/https:/betterbuildingssolutioncenter.energy.gov/sites/default/files/tools/4519539_RTX%20Energy%20BMP%20Guidebook_Interactive_10-2022.pdf" TargetMode="External"/><Relationship Id="rId105" Type="http://schemas.openxmlformats.org/officeDocument/2006/relationships/hyperlink" Target="https://web.archive.org/web/20250411170935/https:/www.renewablethermal.org/utility-engagement-playbook/" TargetMode="External"/><Relationship Id="rId126" Type="http://schemas.openxmlformats.org/officeDocument/2006/relationships/hyperlink" Target="https://web.archive.org/web/20250411174647/https:/betterbuildingssolutioncenter.energy.gov/implementation-models/celanese-corporation-raising-energy-engagement-plant-operations-teams-energy" TargetMode="External"/><Relationship Id="rId8" Type="http://schemas.openxmlformats.org/officeDocument/2006/relationships/hyperlink" Target="https://ghgprotocol.org/corporate-standard" TargetMode="External"/><Relationship Id="rId51" Type="http://schemas.openxmlformats.org/officeDocument/2006/relationships/hyperlink" Target="https://www.accountingforsustainability.org/content/dam/a4s/corporate/home/KnowledgeHub/Guide-pdf/A4S%20Guide%20to%20TCFD%20Climate%20Scenario%20Analysis.pdf.downloadasset.pdf" TargetMode="External"/><Relationship Id="rId72" Type="http://schemas.openxmlformats.org/officeDocument/2006/relationships/hyperlink" Target="https://betterbuildingssolutioncenter.energy.gov/implementation-models/arcelormittal-usa-power-1-contest-increases-employee-engagement-and-generates" TargetMode="External"/><Relationship Id="rId93" Type="http://schemas.openxmlformats.org/officeDocument/2006/relationships/hyperlink" Target="https://web.archive.org/web/20250411163500/https:/www.globalreporting.org/how-to-use-the-gri-standards/resource-center/?g=e918f7e7-34dc-40f2-9efa-0ff88f1ec1d6&amp;id=12510" TargetMode="External"/><Relationship Id="rId98" Type="http://schemas.openxmlformats.org/officeDocument/2006/relationships/hyperlink" Target="https://web.archive.org/web/20250411164835/https:/www1.eere.energy.gov/manufacturing/eguide/iso_step_2_5.html" TargetMode="External"/><Relationship Id="rId121" Type="http://schemas.openxmlformats.org/officeDocument/2006/relationships/hyperlink" Target="https://web.archive.org/web/20250411174022/https:/bptraining.ornl.gov/" TargetMode="External"/><Relationship Id="rId3" Type="http://schemas.openxmlformats.org/officeDocument/2006/relationships/hyperlink" Target="https://www.epa.gov/sites/default/files/2020-12/documents/fugitiveemissions.pdf" TargetMode="External"/><Relationship Id="rId25" Type="http://schemas.openxmlformats.org/officeDocument/2006/relationships/hyperlink" Target="https://www.renewablethermal.org/utility-engagement-playbook/" TargetMode="External"/><Relationship Id="rId46" Type="http://schemas.openxmlformats.org/officeDocument/2006/relationships/hyperlink" Target="https://betterbuildingssolutioncenter.energy.gov/sites/default/files/attachments/Demand%20Response%20in%20Industrial%20Manufacturing_Final%20V2.pdf" TargetMode="External"/><Relationship Id="rId67" Type="http://schemas.openxmlformats.org/officeDocument/2006/relationships/hyperlink" Target="https://www.nrel.gov/docs/fy25osti/92410.pdf" TargetMode="External"/><Relationship Id="rId116" Type="http://schemas.openxmlformats.org/officeDocument/2006/relationships/hyperlink" Target="https://afdc.energy.gov/" TargetMode="External"/><Relationship Id="rId137" Type="http://schemas.openxmlformats.org/officeDocument/2006/relationships/printerSettings" Target="../printerSettings/printerSettings6.bin"/><Relationship Id="rId20" Type="http://schemas.openxmlformats.org/officeDocument/2006/relationships/hyperlink" Target="https://www.energystar.gov/sites/default/files/tools/EPIBenchmarkingGuide_form.pdf" TargetMode="External"/><Relationship Id="rId41" Type="http://schemas.openxmlformats.org/officeDocument/2006/relationships/hyperlink" Target="https://betterbuildingssolutioncenter.energy.gov/renewables" TargetMode="External"/><Relationship Id="rId62" Type="http://schemas.openxmlformats.org/officeDocument/2006/relationships/hyperlink" Target="https://www.youtube.com/watch?v=hXFnuEjv_Zw" TargetMode="External"/><Relationship Id="rId83" Type="http://schemas.openxmlformats.org/officeDocument/2006/relationships/hyperlink" Target="https://betterbuildingssolutioncenter.energy.gov/implementation-models/electrolux-group-driving-climate-action-through-green-financing-framework-and" TargetMode="External"/><Relationship Id="rId88" Type="http://schemas.openxmlformats.org/officeDocument/2006/relationships/hyperlink" Target="https://web.archive.org/web/20250411181423/https:/ghgprotocol.org/sites/default/files/standards/ghg-protocol-revised.pdf" TargetMode="External"/><Relationship Id="rId111" Type="http://schemas.openxmlformats.org/officeDocument/2006/relationships/hyperlink" Target="https://web.archive.org/web/20250411172122/https:/betterbuildingssolutioncenter.energy.gov/sites/default/files/2024-04/2024Summit-15toPhasedown_ReplacingHFCs_Refrigerants-Slides.pdf" TargetMode="External"/><Relationship Id="rId132" Type="http://schemas.openxmlformats.org/officeDocument/2006/relationships/hyperlink" Target="https://web.archive.org/web/20250411175709/https:/betterbuildingssolutioncenter.energy.gov/financing-navigator/allies" TargetMode="External"/><Relationship Id="rId15" Type="http://schemas.openxmlformats.org/officeDocument/2006/relationships/hyperlink" Target="https://betterbuildingssolutioncenter.energy.gov/sites/default/files/attachments/Energy%20Intensity%20Baselining%20and%20Tracking%20Guidance%202020.pdf" TargetMode="External"/><Relationship Id="rId36" Type="http://schemas.openxmlformats.org/officeDocument/2006/relationships/hyperlink" Target="https://betterbuildingssolutioncenter.energy.gov/sites/default/files/Low%20Emissions%20Alt%20Fact%20Sheet.pdf" TargetMode="External"/><Relationship Id="rId57" Type="http://schemas.openxmlformats.org/officeDocument/2006/relationships/hyperlink" Target="https://www.eia.gov/outlooks/aeo/tables_ref.php" TargetMode="External"/><Relationship Id="rId106" Type="http://schemas.openxmlformats.org/officeDocument/2006/relationships/hyperlink" Target="https://web.archive.org/web/20250411171002/https:/betterbuildingssolutioncenter.energy.gov/sites/default/files/Low%20Emissions%20Alt%20Fact%20Sheet.pdf" TargetMode="External"/><Relationship Id="rId127" Type="http://schemas.openxmlformats.org/officeDocument/2006/relationships/hyperlink" Target="https://web.archive.org/web/20250411174915/https:/www.cov.com/-/media/files/corporate/sustainability-toolkit/sustainability-toolkit-corporate-strategy-for-sustainable-energy-procurement.pdf" TargetMode="External"/><Relationship Id="rId10" Type="http://schemas.openxmlformats.org/officeDocument/2006/relationships/hyperlink" Target="https://www.there100.org/technical-guidance" TargetMode="External"/><Relationship Id="rId31" Type="http://schemas.openxmlformats.org/officeDocument/2006/relationships/hyperlink" Target="https://www.renewablethermal.org/case-study-webinar-recording-astrazeneca-amp-vanguard-renewables-u-s-rng-agreement/" TargetMode="External"/><Relationship Id="rId52" Type="http://schemas.openxmlformats.org/officeDocument/2006/relationships/hyperlink" Target="https://ghgprotocol.org/sites/default/files/standards/ghg-protocol-revised.pdf" TargetMode="External"/><Relationship Id="rId73" Type="http://schemas.openxmlformats.org/officeDocument/2006/relationships/hyperlink" Target="https://betterbuildingssolutioncenter.energy.gov/better-plants/diagnostic-tools" TargetMode="External"/><Relationship Id="rId78" Type="http://schemas.openxmlformats.org/officeDocument/2006/relationships/hyperlink" Target="https://kpmg.com/kpmg-us/content/dam/kpmg/pdf/2023/how-to-get-internal-carbon-pricing-right.pdf" TargetMode="External"/><Relationship Id="rId94" Type="http://schemas.openxmlformats.org/officeDocument/2006/relationships/hyperlink" Target="https://web.archive.org/web/20250411181209/https:/sciencebasedtargets.org/resources/files/Net-Zero-Standard-Criteria.pdf" TargetMode="External"/><Relationship Id="rId99" Type="http://schemas.openxmlformats.org/officeDocument/2006/relationships/hyperlink" Target="https://web.archive.org/web/20250403210539/https:/www.energystar.gov/sites/default/files/tools/EPIBenchmarkingGuide_form.pdf" TargetMode="External"/><Relationship Id="rId101" Type="http://schemas.openxmlformats.org/officeDocument/2006/relationships/hyperlink" Target="https://web.archive.org/web/20250411165949/https:/liftoff.energy.gov/" TargetMode="External"/><Relationship Id="rId122" Type="http://schemas.openxmlformats.org/officeDocument/2006/relationships/hyperlink" Target="https://web.archive.org/web/20250411174018/https:/betterbuildingssolutioncenter.energy.gov/better-plants/diagnostic-tools" TargetMode="External"/><Relationship Id="rId4" Type="http://schemas.openxmlformats.org/officeDocument/2006/relationships/hyperlink" Target="https://www.epa.gov/sites/default/files/2020-12/documents/electricityemissions.pdf" TargetMode="External"/><Relationship Id="rId9" Type="http://schemas.openxmlformats.org/officeDocument/2006/relationships/hyperlink" Target="https://www.globalreporting.org/how-to-use-the-gri-standards/resource-center/?g=e918f7e7-34dc-40f2-9efa-0ff88f1ec1d6&amp;id=12510" TargetMode="External"/><Relationship Id="rId26" Type="http://schemas.openxmlformats.org/officeDocument/2006/relationships/hyperlink" Target="https://betterbuildingssolutioncenter.energy.gov/resources/portfolio-screening-and-prioritization-onsite-energy" TargetMode="External"/><Relationship Id="rId47" Type="http://schemas.openxmlformats.org/officeDocument/2006/relationships/hyperlink" Target="https://www.energy.gov/sites/default/files/2022-09/Industrial%20Decarbonization%20Roadmap.pdf" TargetMode="External"/><Relationship Id="rId68" Type="http://schemas.openxmlformats.org/officeDocument/2006/relationships/hyperlink" Target="https://www.edf.org/sites/default/files/documents/MACC_2.0%20report_Evolved_EDF.pdf" TargetMode="External"/><Relationship Id="rId89" Type="http://schemas.openxmlformats.org/officeDocument/2006/relationships/hyperlink" Target="https://web.archive.org/web/20250411163104/https:/www.epa.gov/sites/default/files/2020-12/documents/stationaryemissions.pdf" TargetMode="External"/><Relationship Id="rId112" Type="http://schemas.openxmlformats.org/officeDocument/2006/relationships/hyperlink" Target="https://web.archive.org/web/20250411172233/https:/betterbuildingssolutioncenter.energy.gov/better-plants/better-plants-trainings" TargetMode="External"/><Relationship Id="rId133" Type="http://schemas.openxmlformats.org/officeDocument/2006/relationships/hyperlink" Target="https://web.archive.org/web/20250411175821/https:/www.edf.org/sites/default/files/documents/MACC_2.0%20report_Evolved_EDF.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there100.org/technical-guidance" TargetMode="External"/><Relationship Id="rId2" Type="http://schemas.openxmlformats.org/officeDocument/2006/relationships/hyperlink" Target="https://ghgprotocol.org/scope-2-guidance" TargetMode="External"/><Relationship Id="rId1" Type="http://schemas.openxmlformats.org/officeDocument/2006/relationships/hyperlink" Target="https://ghgprotocol.org/corporate-standard"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https://sciencebasedtargets.org/net-z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EC2F-8EF4-444E-B90E-B17709D9E242}">
  <sheetPr codeName="Sheet3">
    <tabColor theme="7" tint="0.39997558519241921"/>
  </sheetPr>
  <dimension ref="A1:I36"/>
  <sheetViews>
    <sheetView showGridLines="0" tabSelected="1" zoomScale="115" zoomScaleNormal="115" workbookViewId="0">
      <selection activeCell="D18" sqref="D18"/>
    </sheetView>
  </sheetViews>
  <sheetFormatPr baseColWidth="10" defaultColWidth="8.6640625" defaultRowHeight="15"/>
  <cols>
    <col min="1" max="1" width="13.5" style="7" customWidth="1"/>
    <col min="2" max="9" width="14.83203125" style="7" customWidth="1"/>
    <col min="10" max="16384" width="8.6640625" style="7"/>
  </cols>
  <sheetData>
    <row r="1" spans="1:9" ht="76" customHeight="1" thickBot="1">
      <c r="A1" s="541" t="s">
        <v>510</v>
      </c>
      <c r="B1" s="542"/>
      <c r="C1" s="542"/>
      <c r="D1" s="542"/>
      <c r="E1" s="542"/>
      <c r="F1" s="542"/>
      <c r="G1" s="542"/>
      <c r="H1" s="542"/>
      <c r="I1" s="543"/>
    </row>
    <row r="2" spans="1:9">
      <c r="A2" s="471"/>
      <c r="B2" s="472"/>
      <c r="C2" s="472"/>
      <c r="D2" s="472"/>
      <c r="E2" s="472"/>
      <c r="F2" s="472"/>
      <c r="G2" s="472"/>
      <c r="H2" s="472"/>
      <c r="I2" s="473"/>
    </row>
    <row r="3" spans="1:9">
      <c r="A3" s="158"/>
      <c r="B3" s="474"/>
      <c r="C3" s="475"/>
      <c r="D3" s="475"/>
      <c r="E3" s="475"/>
      <c r="F3" s="475"/>
      <c r="G3" s="475"/>
      <c r="H3" s="475"/>
      <c r="I3" s="159"/>
    </row>
    <row r="4" spans="1:9" ht="16">
      <c r="A4" s="160"/>
      <c r="B4" s="544" t="s">
        <v>89</v>
      </c>
      <c r="C4" s="544"/>
      <c r="D4" s="267" t="s">
        <v>90</v>
      </c>
      <c r="E4" s="545" t="s">
        <v>551</v>
      </c>
      <c r="F4" s="546"/>
      <c r="G4" s="546"/>
      <c r="H4" s="546"/>
      <c r="I4" s="547"/>
    </row>
    <row r="5" spans="1:9" ht="16">
      <c r="A5" s="160"/>
      <c r="B5" s="544" t="s">
        <v>91</v>
      </c>
      <c r="C5" s="544"/>
      <c r="D5" s="267" t="s">
        <v>92</v>
      </c>
      <c r="E5" s="545"/>
      <c r="F5" s="546"/>
      <c r="G5" s="546"/>
      <c r="H5" s="546"/>
      <c r="I5" s="547"/>
    </row>
    <row r="6" spans="1:9">
      <c r="A6" s="161"/>
      <c r="B6" s="476"/>
      <c r="C6" s="476"/>
      <c r="D6" s="475"/>
      <c r="E6" s="477"/>
      <c r="F6" s="477"/>
      <c r="G6" s="477"/>
      <c r="H6" s="477"/>
      <c r="I6" s="162"/>
    </row>
    <row r="7" spans="1:9">
      <c r="A7" s="161"/>
      <c r="B7" s="476"/>
      <c r="C7" s="476"/>
      <c r="D7" s="475"/>
      <c r="E7" s="475"/>
      <c r="F7" s="475"/>
      <c r="G7" s="475"/>
      <c r="H7" s="475"/>
      <c r="I7" s="159"/>
    </row>
    <row r="8" spans="1:9" ht="18">
      <c r="A8" s="213" t="s">
        <v>93</v>
      </c>
      <c r="B8" s="476"/>
      <c r="C8" s="476"/>
      <c r="D8" s="475"/>
      <c r="E8" s="475"/>
      <c r="F8" s="475"/>
      <c r="G8" s="475"/>
      <c r="H8" s="475"/>
      <c r="I8" s="159"/>
    </row>
    <row r="9" spans="1:9">
      <c r="A9" s="163" t="s">
        <v>94</v>
      </c>
      <c r="B9" s="476"/>
      <c r="C9" s="476"/>
      <c r="D9" s="475"/>
      <c r="E9" s="475"/>
      <c r="F9" s="475"/>
      <c r="G9" s="475"/>
      <c r="H9" s="475"/>
      <c r="I9" s="159"/>
    </row>
    <row r="10" spans="1:9">
      <c r="A10" s="161" t="s">
        <v>95</v>
      </c>
      <c r="B10" s="476"/>
      <c r="C10" s="476"/>
      <c r="D10" s="475"/>
      <c r="E10" s="475"/>
      <c r="F10" s="475"/>
      <c r="G10" s="475"/>
      <c r="H10" s="475"/>
      <c r="I10" s="159"/>
    </row>
    <row r="11" spans="1:9">
      <c r="A11" s="164" t="s">
        <v>101</v>
      </c>
      <c r="B11" s="476"/>
      <c r="C11" s="476"/>
      <c r="D11" s="475"/>
      <c r="E11" s="475"/>
      <c r="F11" s="475"/>
      <c r="G11" s="475"/>
      <c r="H11" s="475"/>
      <c r="I11" s="159"/>
    </row>
    <row r="12" spans="1:9">
      <c r="A12" s="161"/>
      <c r="B12" s="476"/>
      <c r="C12" s="476"/>
      <c r="D12" s="475"/>
      <c r="E12" s="475"/>
      <c r="F12" s="475"/>
      <c r="G12" s="475"/>
      <c r="H12" s="475"/>
      <c r="I12" s="159"/>
    </row>
    <row r="13" spans="1:9">
      <c r="A13" s="163" t="s">
        <v>96</v>
      </c>
      <c r="B13" s="476"/>
      <c r="C13" s="476"/>
      <c r="D13" s="475"/>
      <c r="E13" s="475"/>
      <c r="F13" s="475"/>
      <c r="G13" s="475"/>
      <c r="H13" s="475"/>
      <c r="I13" s="159"/>
    </row>
    <row r="14" spans="1:9">
      <c r="A14" s="161"/>
      <c r="B14" s="476"/>
      <c r="C14" s="476"/>
      <c r="D14" s="475"/>
      <c r="E14" s="475"/>
      <c r="F14" s="475"/>
      <c r="G14" s="475"/>
      <c r="H14" s="475"/>
      <c r="I14" s="159"/>
    </row>
    <row r="15" spans="1:9">
      <c r="A15" s="163" t="s">
        <v>97</v>
      </c>
      <c r="B15" s="476"/>
      <c r="C15" s="476"/>
      <c r="D15" s="475"/>
      <c r="E15" s="475"/>
      <c r="F15" s="475"/>
      <c r="G15" s="475"/>
      <c r="H15" s="475"/>
      <c r="I15" s="159"/>
    </row>
    <row r="16" spans="1:9">
      <c r="A16" s="536" t="s">
        <v>494</v>
      </c>
      <c r="B16" s="537"/>
      <c r="C16" s="476"/>
      <c r="D16" s="475"/>
      <c r="E16" s="475"/>
      <c r="F16" s="475"/>
      <c r="G16" s="475"/>
      <c r="H16" s="475"/>
      <c r="I16" s="159"/>
    </row>
    <row r="17" spans="1:9">
      <c r="A17" s="536" t="s">
        <v>98</v>
      </c>
      <c r="B17" s="537"/>
      <c r="C17" s="476"/>
      <c r="D17" s="475"/>
      <c r="E17" s="475"/>
      <c r="F17" s="475"/>
      <c r="G17" s="475"/>
      <c r="H17" s="475"/>
      <c r="I17" s="159"/>
    </row>
    <row r="18" spans="1:9">
      <c r="A18" s="536" t="s">
        <v>681</v>
      </c>
      <c r="B18" s="537"/>
      <c r="C18" s="476"/>
      <c r="D18" s="475"/>
      <c r="E18" s="475"/>
      <c r="F18" s="475"/>
      <c r="G18" s="475"/>
      <c r="H18" s="475"/>
      <c r="I18" s="159"/>
    </row>
    <row r="19" spans="1:9">
      <c r="A19" s="536" t="s">
        <v>495</v>
      </c>
      <c r="B19" s="537"/>
      <c r="C19" s="476"/>
      <c r="D19" s="475"/>
      <c r="E19" s="475"/>
      <c r="F19" s="475"/>
      <c r="G19" s="475"/>
      <c r="H19" s="475"/>
      <c r="I19" s="159"/>
    </row>
    <row r="20" spans="1:9">
      <c r="A20" s="161"/>
      <c r="B20" s="476"/>
      <c r="C20" s="476"/>
      <c r="D20" s="475"/>
      <c r="E20" s="475"/>
      <c r="F20" s="475"/>
      <c r="G20" s="475"/>
      <c r="H20" s="475"/>
      <c r="I20" s="159"/>
    </row>
    <row r="21" spans="1:9">
      <c r="A21" s="163" t="s">
        <v>99</v>
      </c>
      <c r="B21" s="476"/>
      <c r="C21" s="476"/>
      <c r="D21" s="475"/>
      <c r="E21" s="475"/>
      <c r="F21" s="475"/>
      <c r="G21" s="475"/>
      <c r="H21" s="475"/>
      <c r="I21" s="159"/>
    </row>
    <row r="22" spans="1:9">
      <c r="A22" s="161" t="s">
        <v>1055</v>
      </c>
      <c r="B22" s="476"/>
      <c r="C22" s="476"/>
      <c r="D22" s="475"/>
      <c r="E22" s="475"/>
      <c r="F22" s="475"/>
      <c r="G22" s="475"/>
      <c r="H22" s="475"/>
      <c r="I22" s="159"/>
    </row>
    <row r="23" spans="1:9">
      <c r="A23" s="160"/>
      <c r="B23" s="476"/>
      <c r="C23" s="476"/>
      <c r="D23" s="475"/>
      <c r="E23" s="475"/>
      <c r="F23" s="475"/>
      <c r="G23" s="475"/>
      <c r="H23" s="475"/>
      <c r="I23" s="159"/>
    </row>
    <row r="24" spans="1:9" ht="14.5" customHeight="1">
      <c r="A24" s="163" t="s">
        <v>553</v>
      </c>
      <c r="B24" s="478"/>
      <c r="C24" s="478"/>
      <c r="D24" s="478"/>
      <c r="E24" s="478"/>
      <c r="F24" s="478"/>
      <c r="G24" s="478"/>
      <c r="H24" s="478"/>
      <c r="I24" s="219"/>
    </row>
    <row r="25" spans="1:9" ht="14.5" customHeight="1">
      <c r="A25" s="538" t="s">
        <v>100</v>
      </c>
      <c r="B25" s="539"/>
      <c r="C25" s="539"/>
      <c r="D25" s="539"/>
      <c r="E25" s="539"/>
      <c r="F25" s="539"/>
      <c r="G25" s="539"/>
      <c r="H25" s="539"/>
      <c r="I25" s="540"/>
    </row>
    <row r="26" spans="1:9">
      <c r="A26" s="538"/>
      <c r="B26" s="539"/>
      <c r="C26" s="539"/>
      <c r="D26" s="539"/>
      <c r="E26" s="539"/>
      <c r="F26" s="539"/>
      <c r="G26" s="539"/>
      <c r="H26" s="539"/>
      <c r="I26" s="540"/>
    </row>
    <row r="27" spans="1:9">
      <c r="A27" s="538"/>
      <c r="B27" s="539"/>
      <c r="C27" s="539"/>
      <c r="D27" s="539"/>
      <c r="E27" s="539"/>
      <c r="F27" s="539"/>
      <c r="G27" s="539"/>
      <c r="H27" s="539"/>
      <c r="I27" s="540"/>
    </row>
    <row r="28" spans="1:9">
      <c r="A28" s="538"/>
      <c r="B28" s="539"/>
      <c r="C28" s="539"/>
      <c r="D28" s="539"/>
      <c r="E28" s="539"/>
      <c r="F28" s="539"/>
      <c r="G28" s="539"/>
      <c r="H28" s="539"/>
      <c r="I28" s="540"/>
    </row>
    <row r="29" spans="1:9">
      <c r="A29" s="538"/>
      <c r="B29" s="539"/>
      <c r="C29" s="539"/>
      <c r="D29" s="539"/>
      <c r="E29" s="539"/>
      <c r="F29" s="539"/>
      <c r="G29" s="539"/>
      <c r="H29" s="539"/>
      <c r="I29" s="540"/>
    </row>
    <row r="30" spans="1:9">
      <c r="A30" s="538"/>
      <c r="B30" s="539"/>
      <c r="C30" s="539"/>
      <c r="D30" s="539"/>
      <c r="E30" s="539"/>
      <c r="F30" s="539"/>
      <c r="G30" s="539"/>
      <c r="H30" s="539"/>
      <c r="I30" s="540"/>
    </row>
    <row r="31" spans="1:9">
      <c r="A31" s="538"/>
      <c r="B31" s="539"/>
      <c r="C31" s="539"/>
      <c r="D31" s="539"/>
      <c r="E31" s="539"/>
      <c r="F31" s="539"/>
      <c r="G31" s="539"/>
      <c r="H31" s="539"/>
      <c r="I31" s="540"/>
    </row>
    <row r="32" spans="1:9">
      <c r="A32" s="538"/>
      <c r="B32" s="539"/>
      <c r="C32" s="539"/>
      <c r="D32" s="539"/>
      <c r="E32" s="539"/>
      <c r="F32" s="539"/>
      <c r="G32" s="539"/>
      <c r="H32" s="539"/>
      <c r="I32" s="540"/>
    </row>
    <row r="33" spans="1:9">
      <c r="A33" s="538"/>
      <c r="B33" s="539"/>
      <c r="C33" s="539"/>
      <c r="D33" s="539"/>
      <c r="E33" s="539"/>
      <c r="F33" s="539"/>
      <c r="G33" s="539"/>
      <c r="H33" s="539"/>
      <c r="I33" s="540"/>
    </row>
    <row r="34" spans="1:9">
      <c r="A34" s="538"/>
      <c r="B34" s="539"/>
      <c r="C34" s="539"/>
      <c r="D34" s="539"/>
      <c r="E34" s="539"/>
      <c r="F34" s="539"/>
      <c r="G34" s="539"/>
      <c r="H34" s="539"/>
      <c r="I34" s="540"/>
    </row>
    <row r="35" spans="1:9">
      <c r="A35" s="166"/>
      <c r="B35" s="479"/>
      <c r="C35" s="479"/>
      <c r="D35" s="479"/>
      <c r="E35" s="479"/>
      <c r="F35" s="479"/>
      <c r="G35" s="479"/>
      <c r="H35" s="479"/>
      <c r="I35" s="165"/>
    </row>
    <row r="36" spans="1:9" ht="17" thickBot="1">
      <c r="A36" s="167"/>
      <c r="B36" s="168"/>
      <c r="C36" s="168"/>
      <c r="D36" s="168"/>
      <c r="E36" s="168"/>
      <c r="F36" s="168"/>
      <c r="G36" s="168"/>
      <c r="H36" s="168"/>
      <c r="I36" s="196">
        <v>45719</v>
      </c>
    </row>
  </sheetData>
  <mergeCells count="9">
    <mergeCell ref="A16:B16"/>
    <mergeCell ref="A18:B18"/>
    <mergeCell ref="A19:B19"/>
    <mergeCell ref="A25:I34"/>
    <mergeCell ref="A1:I1"/>
    <mergeCell ref="B4:C4"/>
    <mergeCell ref="E4:I5"/>
    <mergeCell ref="B5:C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C059-40BF-4A08-B415-D19DFC0CF9B9}">
  <sheetPr codeName="Sheet4">
    <tabColor theme="7" tint="0.39997558519241921"/>
  </sheetPr>
  <dimension ref="A1:AD35"/>
  <sheetViews>
    <sheetView showGridLines="0" workbookViewId="0">
      <selection sqref="A1:T1"/>
    </sheetView>
  </sheetViews>
  <sheetFormatPr baseColWidth="10" defaultColWidth="8.6640625" defaultRowHeight="16"/>
  <cols>
    <col min="1" max="1" width="3.33203125" style="91" customWidth="1"/>
    <col min="2" max="4" width="6.1640625" style="91" customWidth="1"/>
    <col min="5" max="19" width="8.6640625" style="91"/>
    <col min="20" max="20" width="3.1640625" style="91" customWidth="1"/>
    <col min="21" max="16384" width="8.6640625" style="91"/>
  </cols>
  <sheetData>
    <row r="1" spans="1:30" ht="76.5" customHeight="1" thickBot="1">
      <c r="A1" s="557" t="s">
        <v>1056</v>
      </c>
      <c r="B1" s="558"/>
      <c r="C1" s="558"/>
      <c r="D1" s="558"/>
      <c r="E1" s="558"/>
      <c r="F1" s="558"/>
      <c r="G1" s="558"/>
      <c r="H1" s="558"/>
      <c r="I1" s="558"/>
      <c r="J1" s="558"/>
      <c r="K1" s="558"/>
      <c r="L1" s="558"/>
      <c r="M1" s="558"/>
      <c r="N1" s="558"/>
      <c r="O1" s="558"/>
      <c r="P1" s="558"/>
      <c r="Q1" s="558"/>
      <c r="R1" s="558"/>
      <c r="S1" s="558"/>
      <c r="T1" s="559"/>
      <c r="U1" s="215"/>
      <c r="V1" s="215"/>
      <c r="W1" s="215"/>
      <c r="X1" s="215"/>
      <c r="Y1" s="215"/>
      <c r="Z1" s="215"/>
      <c r="AA1" s="215"/>
      <c r="AB1" s="215"/>
      <c r="AC1" s="215"/>
      <c r="AD1" s="215"/>
    </row>
    <row r="2" spans="1:30" ht="14.5" customHeight="1">
      <c r="A2" s="560" t="s">
        <v>1057</v>
      </c>
      <c r="B2" s="561"/>
      <c r="C2" s="561"/>
      <c r="D2" s="561"/>
      <c r="E2" s="561"/>
      <c r="F2" s="561"/>
      <c r="G2" s="561"/>
      <c r="H2" s="561"/>
      <c r="I2" s="561"/>
      <c r="J2" s="561"/>
      <c r="K2" s="561"/>
      <c r="L2" s="561"/>
      <c r="M2" s="561"/>
      <c r="N2" s="561"/>
      <c r="O2" s="561"/>
      <c r="P2" s="561"/>
      <c r="Q2" s="561"/>
      <c r="R2" s="561"/>
      <c r="S2" s="561"/>
      <c r="T2" s="562"/>
    </row>
    <row r="3" spans="1:30">
      <c r="A3" s="563"/>
      <c r="B3" s="564"/>
      <c r="C3" s="564"/>
      <c r="D3" s="564"/>
      <c r="E3" s="564"/>
      <c r="F3" s="564"/>
      <c r="G3" s="564"/>
      <c r="H3" s="564"/>
      <c r="I3" s="564"/>
      <c r="J3" s="564"/>
      <c r="K3" s="564"/>
      <c r="L3" s="564"/>
      <c r="M3" s="564"/>
      <c r="N3" s="564"/>
      <c r="O3" s="564"/>
      <c r="P3" s="564"/>
      <c r="Q3" s="564"/>
      <c r="R3" s="564"/>
      <c r="S3" s="564"/>
      <c r="T3" s="565"/>
    </row>
    <row r="4" spans="1:30">
      <c r="A4" s="9"/>
      <c r="B4" s="10"/>
      <c r="C4" s="10"/>
      <c r="D4" s="10"/>
      <c r="E4" s="10"/>
      <c r="F4" s="10"/>
      <c r="G4" s="10"/>
      <c r="H4" s="10"/>
      <c r="I4" s="10"/>
      <c r="J4" s="10"/>
      <c r="K4" s="10"/>
      <c r="L4" s="10"/>
      <c r="M4" s="10"/>
      <c r="N4" s="10"/>
      <c r="O4" s="10"/>
      <c r="P4" s="10"/>
      <c r="Q4" s="10"/>
      <c r="R4" s="10"/>
      <c r="S4" s="10"/>
      <c r="T4" s="12"/>
    </row>
    <row r="5" spans="1:30">
      <c r="A5" s="9"/>
      <c r="B5" s="10"/>
      <c r="C5" s="10"/>
      <c r="D5" s="10"/>
      <c r="E5" s="10"/>
      <c r="F5" s="10"/>
      <c r="G5" s="10"/>
      <c r="H5" s="10"/>
      <c r="I5" s="10"/>
      <c r="J5" s="10"/>
      <c r="K5" s="10"/>
      <c r="L5" s="10"/>
      <c r="M5" s="10"/>
      <c r="N5" s="10"/>
      <c r="O5" s="10"/>
      <c r="P5" s="10"/>
      <c r="Q5" s="10"/>
      <c r="R5" s="10"/>
      <c r="S5" s="10"/>
      <c r="T5" s="12"/>
    </row>
    <row r="6" spans="1:30">
      <c r="A6" s="9"/>
      <c r="B6" s="10"/>
      <c r="C6" s="10"/>
      <c r="D6" s="10"/>
      <c r="E6" s="10"/>
      <c r="F6" s="10"/>
      <c r="G6" s="10"/>
      <c r="H6" s="10"/>
      <c r="I6" s="10"/>
      <c r="J6" s="10"/>
      <c r="K6" s="10"/>
      <c r="L6" s="10"/>
      <c r="M6" s="10"/>
      <c r="N6" s="10"/>
      <c r="O6" s="10"/>
      <c r="P6" s="10"/>
      <c r="Q6" s="10"/>
      <c r="R6" s="10"/>
      <c r="S6" s="10"/>
      <c r="T6" s="12"/>
    </row>
    <row r="7" spans="1:30">
      <c r="A7" s="9"/>
      <c r="B7" s="10"/>
      <c r="C7" s="10"/>
      <c r="D7" s="10"/>
      <c r="E7" s="10"/>
      <c r="F7" s="10"/>
      <c r="G7" s="10"/>
      <c r="H7" s="10"/>
      <c r="I7" s="10"/>
      <c r="J7" s="10"/>
      <c r="K7" s="10"/>
      <c r="L7" s="10"/>
      <c r="M7" s="10"/>
      <c r="N7" s="10"/>
      <c r="O7" s="10"/>
      <c r="P7" s="10"/>
      <c r="Q7" s="10"/>
      <c r="R7" s="10"/>
      <c r="S7" s="10"/>
      <c r="T7" s="12"/>
    </row>
    <row r="8" spans="1:30">
      <c r="A8" s="9"/>
      <c r="B8" s="10"/>
      <c r="C8" s="10"/>
      <c r="D8" s="10"/>
      <c r="E8" s="10"/>
      <c r="F8" s="10"/>
      <c r="G8" s="10"/>
      <c r="H8" s="10"/>
      <c r="I8" s="10"/>
      <c r="J8" s="10"/>
      <c r="K8" s="10"/>
      <c r="L8" s="10"/>
      <c r="M8" s="10"/>
      <c r="N8" s="10"/>
      <c r="O8" s="10"/>
      <c r="P8" s="10"/>
      <c r="Q8" s="10"/>
      <c r="R8" s="10"/>
      <c r="S8" s="10"/>
      <c r="T8" s="12"/>
    </row>
    <row r="9" spans="1:30">
      <c r="A9" s="9"/>
      <c r="B9" s="10"/>
      <c r="C9" s="10"/>
      <c r="D9" s="10"/>
      <c r="E9" s="10"/>
      <c r="F9" s="10"/>
      <c r="G9" s="10"/>
      <c r="H9" s="10"/>
      <c r="I9" s="10"/>
      <c r="J9" s="10"/>
      <c r="K9" s="10"/>
      <c r="L9" s="10"/>
      <c r="M9" s="10"/>
      <c r="N9" s="10"/>
      <c r="O9" s="10"/>
      <c r="P9" s="10"/>
      <c r="Q9" s="10"/>
      <c r="R9" s="10"/>
      <c r="S9" s="10"/>
      <c r="T9" s="12"/>
    </row>
    <row r="10" spans="1:30">
      <c r="A10" s="9"/>
      <c r="B10" s="10"/>
      <c r="C10" s="10"/>
      <c r="D10" s="10"/>
      <c r="E10" s="10"/>
      <c r="F10" s="10"/>
      <c r="G10" s="10"/>
      <c r="H10" s="10"/>
      <c r="I10" s="10"/>
      <c r="J10" s="10"/>
      <c r="K10" s="10"/>
      <c r="L10" s="10"/>
      <c r="M10" s="10"/>
      <c r="N10" s="10"/>
      <c r="O10" s="10"/>
      <c r="P10" s="10"/>
      <c r="Q10" s="10"/>
      <c r="R10" s="10"/>
      <c r="S10" s="10"/>
      <c r="T10" s="12"/>
    </row>
    <row r="11" spans="1:30">
      <c r="A11" s="9"/>
      <c r="B11" s="10"/>
      <c r="C11" s="10"/>
      <c r="D11" s="10"/>
      <c r="E11" s="10"/>
      <c r="F11" s="10"/>
      <c r="G11" s="10"/>
      <c r="H11" s="10"/>
      <c r="I11" s="10"/>
      <c r="J11" s="10"/>
      <c r="K11" s="10"/>
      <c r="L11" s="10"/>
      <c r="M11" s="10"/>
      <c r="N11" s="10"/>
      <c r="O11" s="10"/>
      <c r="P11" s="10"/>
      <c r="Q11" s="10"/>
      <c r="R11" s="10"/>
      <c r="S11" s="10"/>
      <c r="T11" s="12"/>
    </row>
    <row r="12" spans="1:30">
      <c r="A12" s="9"/>
      <c r="B12" s="10"/>
      <c r="C12" s="10"/>
      <c r="D12" s="10"/>
      <c r="E12" s="10"/>
      <c r="F12" s="10"/>
      <c r="G12" s="10"/>
      <c r="H12" s="10"/>
      <c r="I12" s="10"/>
      <c r="J12" s="10"/>
      <c r="K12" s="10"/>
      <c r="L12" s="10"/>
      <c r="M12" s="10"/>
      <c r="N12" s="10"/>
      <c r="O12" s="10"/>
      <c r="P12" s="10"/>
      <c r="Q12" s="10"/>
      <c r="R12" s="10"/>
      <c r="S12" s="10"/>
      <c r="T12" s="12"/>
    </row>
    <row r="13" spans="1:30">
      <c r="A13" s="9"/>
      <c r="B13" s="10"/>
      <c r="C13" s="10"/>
      <c r="D13" s="10"/>
      <c r="E13" s="10"/>
      <c r="F13" s="10"/>
      <c r="G13" s="10"/>
      <c r="H13" s="10"/>
      <c r="I13" s="10"/>
      <c r="J13" s="10"/>
      <c r="K13" s="10"/>
      <c r="L13" s="10"/>
      <c r="M13" s="10"/>
      <c r="N13" s="10"/>
      <c r="O13" s="10"/>
      <c r="P13" s="10"/>
      <c r="Q13" s="10"/>
      <c r="R13" s="10"/>
      <c r="S13" s="10"/>
      <c r="T13" s="12"/>
    </row>
    <row r="14" spans="1:30">
      <c r="A14" s="9"/>
      <c r="B14" s="10"/>
      <c r="C14" s="10"/>
      <c r="D14" s="10"/>
      <c r="E14" s="10"/>
      <c r="F14" s="10"/>
      <c r="G14" s="10"/>
      <c r="H14" s="10"/>
      <c r="I14" s="10"/>
      <c r="J14" s="10"/>
      <c r="K14" s="10"/>
      <c r="L14" s="10"/>
      <c r="M14" s="10"/>
      <c r="N14" s="10"/>
      <c r="O14" s="10"/>
      <c r="P14" s="10"/>
      <c r="Q14" s="10"/>
      <c r="R14" s="10"/>
      <c r="S14" s="10"/>
      <c r="T14" s="12"/>
    </row>
    <row r="15" spans="1:30">
      <c r="A15" s="9"/>
      <c r="B15" s="10"/>
      <c r="C15" s="10"/>
      <c r="D15" s="10"/>
      <c r="E15" s="10"/>
      <c r="F15" s="10"/>
      <c r="G15" s="10"/>
      <c r="H15" s="10"/>
      <c r="I15" s="10"/>
      <c r="J15" s="10"/>
      <c r="K15" s="10"/>
      <c r="L15" s="10"/>
      <c r="M15" s="10"/>
      <c r="N15" s="10"/>
      <c r="O15" s="10"/>
      <c r="P15" s="10"/>
      <c r="Q15" s="10"/>
      <c r="R15" s="10"/>
      <c r="S15" s="10"/>
      <c r="T15" s="12"/>
    </row>
    <row r="16" spans="1:30">
      <c r="A16" s="9"/>
      <c r="B16" s="10"/>
      <c r="C16" s="10"/>
      <c r="D16" s="10"/>
      <c r="E16" s="10"/>
      <c r="F16" s="10"/>
      <c r="G16" s="10"/>
      <c r="H16" s="10"/>
      <c r="I16" s="10"/>
      <c r="J16" s="10"/>
      <c r="K16" s="10"/>
      <c r="L16" s="10"/>
      <c r="M16" s="10"/>
      <c r="N16" s="10"/>
      <c r="O16" s="10"/>
      <c r="P16" s="10"/>
      <c r="Q16" s="10"/>
      <c r="R16" s="10"/>
      <c r="S16" s="10"/>
      <c r="T16" s="12"/>
    </row>
    <row r="17" spans="1:20">
      <c r="A17" s="9"/>
      <c r="B17" s="10"/>
      <c r="C17" s="10"/>
      <c r="D17" s="10"/>
      <c r="E17" s="10"/>
      <c r="F17" s="10"/>
      <c r="G17" s="10"/>
      <c r="H17" s="10"/>
      <c r="I17" s="10"/>
      <c r="J17" s="10"/>
      <c r="K17" s="10"/>
      <c r="L17" s="10"/>
      <c r="M17" s="10"/>
      <c r="N17" s="10"/>
      <c r="O17" s="10"/>
      <c r="P17" s="10"/>
      <c r="Q17" s="10"/>
      <c r="R17" s="10"/>
      <c r="S17" s="10"/>
      <c r="T17" s="12"/>
    </row>
    <row r="18" spans="1:20">
      <c r="A18" s="9"/>
      <c r="B18" s="10"/>
      <c r="C18" s="10"/>
      <c r="D18" s="10"/>
      <c r="E18" s="10"/>
      <c r="F18" s="10"/>
      <c r="G18" s="10"/>
      <c r="H18" s="10"/>
      <c r="I18" s="10"/>
      <c r="J18" s="10"/>
      <c r="K18" s="10"/>
      <c r="L18" s="10"/>
      <c r="M18" s="10"/>
      <c r="N18" s="10"/>
      <c r="O18" s="10"/>
      <c r="P18" s="10"/>
      <c r="Q18" s="10"/>
      <c r="R18" s="10"/>
      <c r="S18" s="10"/>
      <c r="T18" s="12"/>
    </row>
    <row r="19" spans="1:20">
      <c r="A19" s="9"/>
      <c r="B19" s="10"/>
      <c r="C19" s="10"/>
      <c r="D19" s="10"/>
      <c r="E19" s="10"/>
      <c r="F19" s="10"/>
      <c r="G19" s="10"/>
      <c r="H19" s="10"/>
      <c r="I19" s="10"/>
      <c r="J19" s="10"/>
      <c r="K19" s="10"/>
      <c r="L19" s="10"/>
      <c r="M19" s="10"/>
      <c r="N19" s="10"/>
      <c r="O19" s="10"/>
      <c r="P19" s="10"/>
      <c r="Q19" s="10"/>
      <c r="R19" s="10"/>
      <c r="S19" s="10"/>
      <c r="T19" s="12"/>
    </row>
    <row r="20" spans="1:20">
      <c r="A20" s="9"/>
      <c r="B20" s="10"/>
      <c r="C20" s="10"/>
      <c r="D20" s="10"/>
      <c r="E20" s="10"/>
      <c r="F20" s="10"/>
      <c r="G20" s="10"/>
      <c r="H20" s="10"/>
      <c r="I20" s="10"/>
      <c r="J20" s="10"/>
      <c r="K20" s="10"/>
      <c r="L20" s="10"/>
      <c r="M20" s="10"/>
      <c r="N20" s="10"/>
      <c r="O20" s="10"/>
      <c r="P20" s="10"/>
      <c r="Q20" s="10"/>
      <c r="R20" s="10"/>
      <c r="S20" s="10"/>
      <c r="T20" s="12"/>
    </row>
    <row r="21" spans="1:20">
      <c r="A21" s="9"/>
      <c r="B21" s="10"/>
      <c r="C21" s="10"/>
      <c r="D21" s="10"/>
      <c r="E21" s="10"/>
      <c r="F21" s="10"/>
      <c r="G21" s="10"/>
      <c r="H21" s="10"/>
      <c r="I21" s="10"/>
      <c r="J21" s="10"/>
      <c r="K21" s="10"/>
      <c r="L21" s="10"/>
      <c r="M21" s="10"/>
      <c r="N21" s="10"/>
      <c r="O21" s="10"/>
      <c r="P21" s="10"/>
      <c r="Q21" s="10"/>
      <c r="R21" s="10"/>
      <c r="S21" s="10"/>
      <c r="T21" s="12"/>
    </row>
    <row r="22" spans="1:20">
      <c r="A22" s="9"/>
      <c r="B22" s="10"/>
      <c r="C22" s="10"/>
      <c r="D22" s="10"/>
      <c r="E22" s="10"/>
      <c r="F22" s="10"/>
      <c r="G22" s="10"/>
      <c r="H22" s="10"/>
      <c r="I22" s="10"/>
      <c r="J22" s="10"/>
      <c r="K22" s="10"/>
      <c r="L22" s="10"/>
      <c r="M22" s="10"/>
      <c r="N22" s="10"/>
      <c r="O22" s="10"/>
      <c r="P22" s="10"/>
      <c r="Q22" s="10"/>
      <c r="R22" s="10"/>
      <c r="S22" s="10"/>
      <c r="T22" s="12"/>
    </row>
    <row r="23" spans="1:20">
      <c r="A23" s="9"/>
      <c r="B23" s="10"/>
      <c r="C23" s="10"/>
      <c r="D23" s="10"/>
      <c r="E23" s="10"/>
      <c r="F23" s="10"/>
      <c r="G23" s="10"/>
      <c r="H23" s="10"/>
      <c r="I23" s="10"/>
      <c r="J23" s="10"/>
      <c r="K23" s="10"/>
      <c r="L23" s="10"/>
      <c r="M23" s="10"/>
      <c r="N23" s="10"/>
      <c r="O23" s="10"/>
      <c r="P23" s="10"/>
      <c r="Q23" s="10"/>
      <c r="R23" s="10"/>
      <c r="S23" s="10"/>
      <c r="T23" s="12"/>
    </row>
    <row r="24" spans="1:20">
      <c r="A24" s="9"/>
      <c r="B24" s="10"/>
      <c r="C24" s="10"/>
      <c r="D24" s="10"/>
      <c r="E24" s="10"/>
      <c r="F24" s="10"/>
      <c r="G24" s="10"/>
      <c r="H24" s="10"/>
      <c r="I24" s="10"/>
      <c r="J24" s="10"/>
      <c r="K24" s="10"/>
      <c r="L24" s="10"/>
      <c r="M24" s="10"/>
      <c r="N24" s="10"/>
      <c r="O24" s="10"/>
      <c r="P24" s="10"/>
      <c r="Q24" s="10"/>
      <c r="R24" s="10"/>
      <c r="S24" s="10"/>
      <c r="T24" s="12"/>
    </row>
    <row r="25" spans="1:20" ht="66" customHeight="1">
      <c r="A25" s="9"/>
      <c r="B25" s="569" t="s">
        <v>552</v>
      </c>
      <c r="C25" s="570"/>
      <c r="D25" s="570"/>
      <c r="E25" s="570"/>
      <c r="F25" s="570"/>
      <c r="G25" s="570"/>
      <c r="H25" s="570"/>
      <c r="I25" s="570"/>
      <c r="J25" s="570"/>
      <c r="K25" s="570"/>
      <c r="L25" s="570"/>
      <c r="M25" s="570"/>
      <c r="N25" s="570"/>
      <c r="O25" s="570"/>
      <c r="P25" s="570"/>
      <c r="Q25" s="570"/>
      <c r="R25" s="570"/>
      <c r="S25" s="571"/>
      <c r="T25" s="12"/>
    </row>
    <row r="26" spans="1:20">
      <c r="A26" s="9"/>
      <c r="B26" s="10"/>
      <c r="C26" s="10"/>
      <c r="D26" s="10"/>
      <c r="E26" s="10"/>
      <c r="F26" s="10"/>
      <c r="G26" s="10"/>
      <c r="H26" s="10"/>
      <c r="I26" s="10"/>
      <c r="J26" s="10"/>
      <c r="K26" s="10"/>
      <c r="L26" s="10"/>
      <c r="M26" s="10"/>
      <c r="N26" s="10"/>
      <c r="O26" s="10"/>
      <c r="P26" s="10"/>
      <c r="Q26" s="10"/>
      <c r="R26" s="10"/>
      <c r="S26" s="10"/>
      <c r="T26" s="12"/>
    </row>
    <row r="27" spans="1:20" ht="85" customHeight="1">
      <c r="A27" s="9"/>
      <c r="B27" s="566" t="s">
        <v>548</v>
      </c>
      <c r="C27" s="567"/>
      <c r="D27" s="567"/>
      <c r="E27" s="567"/>
      <c r="F27" s="567"/>
      <c r="G27" s="567"/>
      <c r="H27" s="567"/>
      <c r="I27" s="567"/>
      <c r="J27" s="567"/>
      <c r="K27" s="567"/>
      <c r="L27" s="567"/>
      <c r="M27" s="567"/>
      <c r="N27" s="567"/>
      <c r="O27" s="567"/>
      <c r="P27" s="567"/>
      <c r="Q27" s="567"/>
      <c r="R27" s="567"/>
      <c r="S27" s="568"/>
      <c r="T27" s="12"/>
    </row>
    <row r="28" spans="1:20">
      <c r="A28" s="9"/>
      <c r="B28" s="10"/>
      <c r="C28" s="10"/>
      <c r="D28" s="10"/>
      <c r="E28" s="10"/>
      <c r="F28" s="10"/>
      <c r="G28" s="10"/>
      <c r="H28" s="10"/>
      <c r="I28" s="10"/>
      <c r="J28" s="10"/>
      <c r="K28" s="10"/>
      <c r="L28" s="10"/>
      <c r="M28" s="10"/>
      <c r="N28" s="10"/>
      <c r="O28" s="10"/>
      <c r="P28" s="10"/>
      <c r="Q28" s="10"/>
      <c r="R28" s="10"/>
      <c r="S28" s="10"/>
      <c r="T28" s="12"/>
    </row>
    <row r="29" spans="1:20" ht="114.5" customHeight="1">
      <c r="A29" s="9"/>
      <c r="B29" s="566" t="s">
        <v>549</v>
      </c>
      <c r="C29" s="567"/>
      <c r="D29" s="567"/>
      <c r="E29" s="567"/>
      <c r="F29" s="567"/>
      <c r="G29" s="567"/>
      <c r="H29" s="567"/>
      <c r="I29" s="567"/>
      <c r="J29" s="567"/>
      <c r="K29" s="567"/>
      <c r="L29" s="567"/>
      <c r="M29" s="567"/>
      <c r="N29" s="567"/>
      <c r="O29" s="567"/>
      <c r="P29" s="567"/>
      <c r="Q29" s="567"/>
      <c r="R29" s="567"/>
      <c r="S29" s="568"/>
      <c r="T29" s="12"/>
    </row>
    <row r="30" spans="1:20">
      <c r="A30" s="9"/>
      <c r="B30" s="10"/>
      <c r="C30" s="10"/>
      <c r="D30" s="10"/>
      <c r="E30" s="10"/>
      <c r="F30" s="10"/>
      <c r="G30" s="10"/>
      <c r="H30" s="10"/>
      <c r="I30" s="10"/>
      <c r="J30" s="10"/>
      <c r="K30" s="10"/>
      <c r="L30" s="10"/>
      <c r="M30" s="10"/>
      <c r="N30" s="10"/>
      <c r="O30" s="10"/>
      <c r="P30" s="10"/>
      <c r="Q30" s="10"/>
      <c r="R30" s="10"/>
      <c r="S30" s="10"/>
      <c r="T30" s="12"/>
    </row>
    <row r="31" spans="1:20" ht="63" customHeight="1">
      <c r="A31" s="9"/>
      <c r="B31" s="548" t="s">
        <v>550</v>
      </c>
      <c r="C31" s="549"/>
      <c r="D31" s="549"/>
      <c r="E31" s="549"/>
      <c r="F31" s="549"/>
      <c r="G31" s="549"/>
      <c r="H31" s="549"/>
      <c r="I31" s="549"/>
      <c r="J31" s="549"/>
      <c r="K31" s="549"/>
      <c r="L31" s="549"/>
      <c r="M31" s="549"/>
      <c r="N31" s="549"/>
      <c r="O31" s="549"/>
      <c r="P31" s="549"/>
      <c r="Q31" s="549"/>
      <c r="R31" s="549"/>
      <c r="S31" s="550"/>
      <c r="T31" s="12"/>
    </row>
    <row r="32" spans="1:20">
      <c r="A32" s="9"/>
      <c r="B32" s="10"/>
      <c r="C32" s="10"/>
      <c r="D32" s="10"/>
      <c r="E32" s="10"/>
      <c r="F32" s="10"/>
      <c r="G32" s="10"/>
      <c r="H32" s="10"/>
      <c r="I32" s="10"/>
      <c r="J32" s="10"/>
      <c r="K32" s="10"/>
      <c r="L32" s="10"/>
      <c r="M32" s="10"/>
      <c r="N32" s="10"/>
      <c r="O32" s="10"/>
      <c r="P32" s="10"/>
      <c r="Q32" s="10"/>
      <c r="R32" s="10"/>
      <c r="S32" s="10"/>
      <c r="T32" s="12"/>
    </row>
    <row r="33" spans="1:20" ht="114.5" customHeight="1">
      <c r="A33" s="9"/>
      <c r="B33" s="551" t="s">
        <v>778</v>
      </c>
      <c r="C33" s="552"/>
      <c r="D33" s="552"/>
      <c r="E33" s="552"/>
      <c r="F33" s="552"/>
      <c r="G33" s="552"/>
      <c r="H33" s="552"/>
      <c r="I33" s="552"/>
      <c r="J33" s="552"/>
      <c r="K33" s="552"/>
      <c r="L33" s="552"/>
      <c r="M33" s="552"/>
      <c r="N33" s="552"/>
      <c r="O33" s="552"/>
      <c r="P33" s="552"/>
      <c r="Q33" s="552"/>
      <c r="R33" s="552"/>
      <c r="S33" s="553"/>
      <c r="T33" s="12"/>
    </row>
    <row r="34" spans="1:20">
      <c r="A34" s="9"/>
      <c r="B34" s="554"/>
      <c r="C34" s="555"/>
      <c r="D34" s="555"/>
      <c r="E34" s="555"/>
      <c r="F34" s="555"/>
      <c r="G34" s="555"/>
      <c r="H34" s="555"/>
      <c r="I34" s="555"/>
      <c r="J34" s="555"/>
      <c r="K34" s="555"/>
      <c r="L34" s="555"/>
      <c r="M34" s="555"/>
      <c r="N34" s="555"/>
      <c r="O34" s="555"/>
      <c r="P34" s="555"/>
      <c r="Q34" s="555"/>
      <c r="R34" s="555"/>
      <c r="S34" s="556"/>
      <c r="T34" s="12"/>
    </row>
    <row r="35" spans="1:20" ht="17" thickBot="1">
      <c r="A35" s="14"/>
      <c r="B35" s="15"/>
      <c r="C35" s="15"/>
      <c r="D35" s="15"/>
      <c r="E35" s="15"/>
      <c r="F35" s="15"/>
      <c r="G35" s="15"/>
      <c r="H35" s="15"/>
      <c r="I35" s="15"/>
      <c r="J35" s="15"/>
      <c r="K35" s="15"/>
      <c r="L35" s="15"/>
      <c r="M35" s="15"/>
      <c r="N35" s="15"/>
      <c r="O35" s="15"/>
      <c r="P35" s="15"/>
      <c r="Q35" s="15"/>
      <c r="R35" s="15"/>
      <c r="S35" s="15"/>
      <c r="T35" s="16"/>
    </row>
  </sheetData>
  <mergeCells count="7">
    <mergeCell ref="B31:S31"/>
    <mergeCell ref="B33:S34"/>
    <mergeCell ref="A1:T1"/>
    <mergeCell ref="A2:T3"/>
    <mergeCell ref="B27:S27"/>
    <mergeCell ref="B25:S25"/>
    <mergeCell ref="B29:S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D83E-3F83-4F24-8689-F135EBA379D8}">
  <sheetPr codeName="Sheet5">
    <tabColor theme="7" tint="0.39997558519241921"/>
  </sheetPr>
  <dimension ref="A1:D8"/>
  <sheetViews>
    <sheetView showGridLines="0" workbookViewId="0">
      <selection activeCell="B11" sqref="B11"/>
    </sheetView>
  </sheetViews>
  <sheetFormatPr baseColWidth="10" defaultColWidth="8.6640625" defaultRowHeight="16"/>
  <cols>
    <col min="1" max="1" width="40.33203125" style="91" bestFit="1" customWidth="1"/>
    <col min="2" max="2" width="60.33203125" style="91" customWidth="1"/>
    <col min="3" max="3" width="18.33203125" style="91" bestFit="1" customWidth="1"/>
    <col min="4" max="4" width="69.33203125" style="91" customWidth="1"/>
    <col min="5" max="5" width="12.83203125" style="91" customWidth="1"/>
    <col min="6" max="16384" width="8.6640625" style="91"/>
  </cols>
  <sheetData>
    <row r="1" spans="1:4" ht="74.5" customHeight="1">
      <c r="A1" s="572" t="s">
        <v>554</v>
      </c>
      <c r="B1" s="573"/>
      <c r="C1" s="573"/>
      <c r="D1" s="574"/>
    </row>
    <row r="2" spans="1:4">
      <c r="A2" s="575" t="s">
        <v>102</v>
      </c>
      <c r="B2" s="576"/>
      <c r="C2" s="576"/>
      <c r="D2" s="577"/>
    </row>
    <row r="3" spans="1:4">
      <c r="A3" s="92" t="s">
        <v>490</v>
      </c>
      <c r="B3" s="578"/>
      <c r="C3" s="579"/>
      <c r="D3" s="580"/>
    </row>
    <row r="4" spans="1:4">
      <c r="A4" s="93" t="s">
        <v>730</v>
      </c>
      <c r="B4" s="193"/>
      <c r="C4" s="13" t="s">
        <v>492</v>
      </c>
      <c r="D4" s="191"/>
    </row>
    <row r="5" spans="1:4">
      <c r="A5" s="93" t="s">
        <v>761</v>
      </c>
      <c r="B5" s="194" t="e">
        <f>VLOOKUP(B4,DropdownORNamemanagerLists!B20:C58,2,FALSE)</f>
        <v>#N/A</v>
      </c>
      <c r="C5" s="13" t="s">
        <v>103</v>
      </c>
      <c r="D5" s="191"/>
    </row>
    <row r="6" spans="1:4">
      <c r="A6" s="93" t="s">
        <v>104</v>
      </c>
      <c r="B6" s="195"/>
      <c r="C6" s="13" t="s">
        <v>493</v>
      </c>
      <c r="D6" s="191"/>
    </row>
    <row r="7" spans="1:4">
      <c r="A7" s="93" t="s">
        <v>491</v>
      </c>
      <c r="B7" s="193"/>
      <c r="C7" s="10"/>
      <c r="D7" s="192"/>
    </row>
    <row r="8" spans="1:4">
      <c r="A8" s="10"/>
      <c r="B8" s="10"/>
      <c r="C8" s="10"/>
      <c r="D8" s="94"/>
    </row>
  </sheetData>
  <mergeCells count="3">
    <mergeCell ref="A1:D1"/>
    <mergeCell ref="A2:D2"/>
    <mergeCell ref="B3:D3"/>
  </mergeCells>
  <dataValidations disablePrompts="1" xWindow="153" yWindow="552" count="2">
    <dataValidation type="list" allowBlank="1" showInputMessage="1" showErrorMessage="1" sqref="B4" xr:uid="{6B2E4D8B-2312-4FFD-9AEA-777CEFDFC7BE}">
      <formula1>End_Use</formula1>
    </dataValidation>
    <dataValidation allowBlank="1" showInputMessage="1" showErrorMessage="1" promptTitle="Reporting Year" prompt="Enter the year (YYYY format) that corresponds to this data submission. For example, enter '2023' if reporting data from January 1 to December 31, 2023." sqref="A7" xr:uid="{5983DB24-6B40-4D23-B668-C3C19242F611}"/>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7DEB-E629-48D8-801C-D9CA313CE0F9}">
  <sheetPr codeName="Sheet6">
    <tabColor theme="7" tint="0.39997558519241921"/>
  </sheetPr>
  <dimension ref="A1:K40"/>
  <sheetViews>
    <sheetView showGridLines="0" topLeftCell="A9" workbookViewId="0">
      <selection activeCell="J29" sqref="J29"/>
    </sheetView>
  </sheetViews>
  <sheetFormatPr baseColWidth="10" defaultColWidth="8.6640625" defaultRowHeight="16"/>
  <cols>
    <col min="1" max="1" width="8.6640625" style="91"/>
    <col min="2" max="10" width="11.6640625" style="91" customWidth="1"/>
    <col min="11" max="16384" width="8.6640625" style="91"/>
  </cols>
  <sheetData>
    <row r="1" spans="1:11" s="90" customFormat="1" ht="75.5" customHeight="1" thickBot="1">
      <c r="A1" s="584" t="s">
        <v>298</v>
      </c>
      <c r="B1" s="585"/>
      <c r="C1" s="585"/>
      <c r="D1" s="585"/>
      <c r="E1" s="585"/>
      <c r="F1" s="585"/>
      <c r="G1" s="585"/>
      <c r="H1" s="585"/>
      <c r="I1" s="585"/>
      <c r="J1" s="585"/>
      <c r="K1" s="586"/>
    </row>
    <row r="2" spans="1:11" ht="15.75" customHeight="1">
      <c r="A2" s="149"/>
      <c r="B2" s="150"/>
      <c r="C2" s="150"/>
      <c r="D2" s="151"/>
      <c r="E2" s="151"/>
      <c r="F2" s="151"/>
      <c r="G2" s="151"/>
      <c r="H2" s="151"/>
      <c r="I2" s="151"/>
      <c r="J2" s="151"/>
      <c r="K2" s="152"/>
    </row>
    <row r="3" spans="1:11" ht="15.75" customHeight="1">
      <c r="A3" s="9"/>
      <c r="B3" s="10"/>
      <c r="C3" s="10"/>
      <c r="D3" s="10"/>
      <c r="E3" s="10"/>
      <c r="F3" s="10"/>
      <c r="G3" s="10"/>
      <c r="H3" s="10"/>
      <c r="I3" s="10"/>
      <c r="J3" s="10"/>
      <c r="K3" s="153"/>
    </row>
    <row r="4" spans="1:11">
      <c r="A4" s="9"/>
      <c r="B4" s="587" t="s">
        <v>220</v>
      </c>
      <c r="C4" s="588"/>
      <c r="D4" s="588"/>
      <c r="E4" s="588"/>
      <c r="F4" s="588"/>
      <c r="G4" s="588"/>
      <c r="H4" s="588"/>
      <c r="I4" s="588"/>
      <c r="J4" s="589"/>
      <c r="K4" s="153"/>
    </row>
    <row r="5" spans="1:11">
      <c r="A5" s="9"/>
      <c r="B5" s="590"/>
      <c r="C5" s="591"/>
      <c r="D5" s="591"/>
      <c r="E5" s="591"/>
      <c r="F5" s="591"/>
      <c r="G5" s="591"/>
      <c r="H5" s="591"/>
      <c r="I5" s="591"/>
      <c r="J5" s="592"/>
      <c r="K5" s="153"/>
    </row>
    <row r="6" spans="1:11">
      <c r="A6" s="9"/>
      <c r="B6" s="590"/>
      <c r="C6" s="591"/>
      <c r="D6" s="591"/>
      <c r="E6" s="591"/>
      <c r="F6" s="591"/>
      <c r="G6" s="591"/>
      <c r="H6" s="591"/>
      <c r="I6" s="591"/>
      <c r="J6" s="592"/>
      <c r="K6" s="153"/>
    </row>
    <row r="7" spans="1:11">
      <c r="A7" s="9"/>
      <c r="B7" s="590"/>
      <c r="C7" s="591"/>
      <c r="D7" s="591"/>
      <c r="E7" s="591"/>
      <c r="F7" s="591"/>
      <c r="G7" s="591"/>
      <c r="H7" s="591"/>
      <c r="I7" s="591"/>
      <c r="J7" s="592"/>
      <c r="K7" s="153"/>
    </row>
    <row r="8" spans="1:11">
      <c r="A8" s="9"/>
      <c r="B8" s="590"/>
      <c r="C8" s="591"/>
      <c r="D8" s="591"/>
      <c r="E8" s="591"/>
      <c r="F8" s="591"/>
      <c r="G8" s="591"/>
      <c r="H8" s="591"/>
      <c r="I8" s="591"/>
      <c r="J8" s="592"/>
      <c r="K8" s="153"/>
    </row>
    <row r="9" spans="1:11">
      <c r="A9" s="9"/>
      <c r="B9" s="590"/>
      <c r="C9" s="591"/>
      <c r="D9" s="591"/>
      <c r="E9" s="591"/>
      <c r="F9" s="591"/>
      <c r="G9" s="591"/>
      <c r="H9" s="591"/>
      <c r="I9" s="591"/>
      <c r="J9" s="592"/>
      <c r="K9" s="153"/>
    </row>
    <row r="10" spans="1:11">
      <c r="A10" s="9"/>
      <c r="B10" s="590"/>
      <c r="C10" s="591"/>
      <c r="D10" s="591"/>
      <c r="E10" s="591"/>
      <c r="F10" s="591"/>
      <c r="G10" s="591"/>
      <c r="H10" s="591"/>
      <c r="I10" s="591"/>
      <c r="J10" s="592"/>
      <c r="K10" s="153"/>
    </row>
    <row r="11" spans="1:11">
      <c r="A11" s="9"/>
      <c r="B11" s="593"/>
      <c r="C11" s="594"/>
      <c r="D11" s="594"/>
      <c r="E11" s="594"/>
      <c r="F11" s="594"/>
      <c r="G11" s="594"/>
      <c r="H11" s="594"/>
      <c r="I11" s="594"/>
      <c r="J11" s="595"/>
      <c r="K11" s="153"/>
    </row>
    <row r="12" spans="1:11">
      <c r="A12" s="9"/>
      <c r="B12" s="10"/>
      <c r="C12" s="10"/>
      <c r="D12" s="10"/>
      <c r="E12" s="10"/>
      <c r="F12" s="10"/>
      <c r="G12" s="10"/>
      <c r="H12" s="10"/>
      <c r="I12" s="10"/>
      <c r="J12" s="10"/>
      <c r="K12" s="12"/>
    </row>
    <row r="13" spans="1:11">
      <c r="A13" s="9"/>
      <c r="B13" s="10"/>
      <c r="C13" s="154"/>
      <c r="D13" s="583" t="s">
        <v>0</v>
      </c>
      <c r="E13" s="583"/>
      <c r="F13" s="583"/>
      <c r="G13" s="155" t="s">
        <v>1</v>
      </c>
      <c r="H13" s="155" t="s">
        <v>2</v>
      </c>
      <c r="I13" s="10"/>
      <c r="J13" s="10"/>
      <c r="K13" s="12"/>
    </row>
    <row r="14" spans="1:11">
      <c r="A14" s="9"/>
      <c r="B14" s="10"/>
      <c r="C14" s="10"/>
      <c r="D14" s="583"/>
      <c r="E14" s="583"/>
      <c r="F14" s="583"/>
      <c r="G14" s="155" t="s">
        <v>3</v>
      </c>
      <c r="H14" s="155"/>
      <c r="I14" s="10"/>
      <c r="J14" s="10"/>
      <c r="K14" s="12"/>
    </row>
    <row r="15" spans="1:11">
      <c r="A15" s="9"/>
      <c r="B15" s="10"/>
      <c r="C15" s="10"/>
      <c r="D15" s="583"/>
      <c r="E15" s="583"/>
      <c r="F15" s="583"/>
      <c r="G15" s="155" t="s">
        <v>4</v>
      </c>
      <c r="H15" s="155"/>
      <c r="I15" s="10"/>
      <c r="J15" s="10"/>
      <c r="K15" s="12"/>
    </row>
    <row r="16" spans="1:11">
      <c r="A16" s="9"/>
      <c r="B16" s="10"/>
      <c r="C16" s="10"/>
      <c r="D16" s="583"/>
      <c r="E16" s="583"/>
      <c r="F16" s="583"/>
      <c r="G16" s="155" t="s">
        <v>5</v>
      </c>
      <c r="H16" s="155"/>
      <c r="I16" s="10"/>
      <c r="J16" s="10"/>
      <c r="K16" s="12"/>
    </row>
    <row r="17" spans="1:11">
      <c r="A17" s="9"/>
      <c r="B17" s="10"/>
      <c r="C17" s="10"/>
      <c r="D17" s="583"/>
      <c r="E17" s="583"/>
      <c r="F17" s="583"/>
      <c r="G17" s="155" t="s">
        <v>6</v>
      </c>
      <c r="H17" s="155"/>
      <c r="I17" s="10"/>
      <c r="J17" s="10"/>
      <c r="K17" s="12"/>
    </row>
    <row r="18" spans="1:11">
      <c r="A18" s="9"/>
      <c r="B18" s="10"/>
      <c r="C18" s="10"/>
      <c r="D18" s="156"/>
      <c r="E18" s="156"/>
      <c r="F18" s="156"/>
      <c r="G18" s="10"/>
      <c r="H18" s="10"/>
      <c r="I18" s="10"/>
      <c r="J18" s="10"/>
      <c r="K18" s="12"/>
    </row>
    <row r="19" spans="1:11">
      <c r="A19" s="9"/>
      <c r="B19" s="10"/>
      <c r="C19" s="10"/>
      <c r="D19" s="596" t="s">
        <v>7</v>
      </c>
      <c r="E19" s="596"/>
      <c r="F19" s="596"/>
      <c r="G19" s="211" t="s">
        <v>8</v>
      </c>
      <c r="H19" s="157" t="b">
        <v>1</v>
      </c>
      <c r="I19" s="10"/>
      <c r="J19" s="10"/>
      <c r="K19" s="12"/>
    </row>
    <row r="20" spans="1:11">
      <c r="A20" s="9"/>
      <c r="B20" s="10"/>
      <c r="C20" s="10"/>
      <c r="D20" s="596"/>
      <c r="E20" s="596"/>
      <c r="F20" s="596"/>
      <c r="G20" s="211" t="s">
        <v>9</v>
      </c>
      <c r="H20" s="157" t="b">
        <v>0</v>
      </c>
      <c r="I20" s="10"/>
      <c r="J20" s="10"/>
      <c r="K20" s="12"/>
    </row>
    <row r="21" spans="1:11">
      <c r="A21" s="9"/>
      <c r="B21" s="10"/>
      <c r="C21" s="10"/>
      <c r="D21" s="596"/>
      <c r="E21" s="596"/>
      <c r="F21" s="596"/>
      <c r="G21" s="211" t="s">
        <v>10</v>
      </c>
      <c r="H21" s="157" t="b">
        <v>1</v>
      </c>
      <c r="I21" s="10"/>
      <c r="J21" s="10"/>
      <c r="K21" s="12"/>
    </row>
    <row r="22" spans="1:11">
      <c r="A22" s="9"/>
      <c r="B22" s="10"/>
      <c r="C22" s="10"/>
      <c r="D22" s="596"/>
      <c r="E22" s="596"/>
      <c r="F22" s="596"/>
      <c r="G22" s="211" t="s">
        <v>11</v>
      </c>
      <c r="H22" s="157" t="b">
        <v>1</v>
      </c>
      <c r="I22" s="10"/>
      <c r="J22" s="10"/>
      <c r="K22" s="12"/>
    </row>
    <row r="23" spans="1:11">
      <c r="A23" s="9"/>
      <c r="B23" s="10"/>
      <c r="C23" s="10"/>
      <c r="D23" s="596"/>
      <c r="E23" s="596"/>
      <c r="F23" s="596"/>
      <c r="G23" s="211" t="s">
        <v>12</v>
      </c>
      <c r="H23" s="157" t="b">
        <v>0</v>
      </c>
      <c r="I23" s="10"/>
      <c r="J23" s="10"/>
      <c r="K23" s="12"/>
    </row>
    <row r="24" spans="1:11">
      <c r="A24" s="9"/>
      <c r="B24" s="10"/>
      <c r="C24" s="10"/>
      <c r="D24" s="10"/>
      <c r="E24" s="10"/>
      <c r="F24" s="10"/>
      <c r="G24" s="10"/>
      <c r="H24" s="10"/>
      <c r="I24" s="10"/>
      <c r="J24" s="10"/>
      <c r="K24" s="12"/>
    </row>
    <row r="25" spans="1:11">
      <c r="A25" s="9"/>
      <c r="B25" s="10"/>
      <c r="C25" s="10"/>
      <c r="D25" s="597" t="s">
        <v>13</v>
      </c>
      <c r="E25" s="597"/>
      <c r="F25" s="597"/>
      <c r="G25" s="211" t="s">
        <v>8</v>
      </c>
      <c r="H25" s="212" t="b">
        <v>0</v>
      </c>
      <c r="I25" s="10"/>
      <c r="J25" s="10"/>
      <c r="K25" s="12"/>
    </row>
    <row r="26" spans="1:11">
      <c r="A26" s="9"/>
      <c r="B26" s="10"/>
      <c r="C26" s="10"/>
      <c r="D26" s="597"/>
      <c r="E26" s="597"/>
      <c r="F26" s="597"/>
      <c r="G26" s="211" t="s">
        <v>9</v>
      </c>
      <c r="H26" s="212" t="b">
        <v>0</v>
      </c>
      <c r="I26" s="10"/>
      <c r="J26" s="10"/>
      <c r="K26" s="12"/>
    </row>
    <row r="27" spans="1:11">
      <c r="A27" s="9"/>
      <c r="B27" s="10"/>
      <c r="C27" s="10"/>
      <c r="D27" s="597"/>
      <c r="E27" s="597"/>
      <c r="F27" s="597"/>
      <c r="G27" s="211" t="s">
        <v>10</v>
      </c>
      <c r="H27" s="212" t="b">
        <v>0</v>
      </c>
      <c r="I27" s="10"/>
      <c r="J27" s="10"/>
      <c r="K27" s="12"/>
    </row>
    <row r="28" spans="1:11">
      <c r="A28" s="9"/>
      <c r="B28" s="10"/>
      <c r="C28" s="10"/>
      <c r="D28" s="597"/>
      <c r="E28" s="597"/>
      <c r="F28" s="597"/>
      <c r="G28" s="211" t="s">
        <v>11</v>
      </c>
      <c r="H28" s="212" t="b">
        <v>1</v>
      </c>
      <c r="I28" s="10"/>
      <c r="J28" s="10"/>
      <c r="K28" s="12"/>
    </row>
    <row r="29" spans="1:11">
      <c r="A29" s="9"/>
      <c r="B29" s="10"/>
      <c r="C29" s="10"/>
      <c r="D29" s="597"/>
      <c r="E29" s="597"/>
      <c r="F29" s="597"/>
      <c r="G29" s="211" t="s">
        <v>12</v>
      </c>
      <c r="H29" s="212" t="b">
        <v>0</v>
      </c>
      <c r="I29" s="10"/>
      <c r="J29" s="10"/>
      <c r="K29" s="12"/>
    </row>
    <row r="30" spans="1:11">
      <c r="A30" s="9"/>
      <c r="B30" s="10"/>
      <c r="C30" s="10"/>
      <c r="D30" s="10"/>
      <c r="E30" s="10"/>
      <c r="F30" s="10"/>
      <c r="G30" s="10"/>
      <c r="H30" s="10"/>
      <c r="I30" s="10"/>
      <c r="J30" s="10"/>
      <c r="K30" s="12"/>
    </row>
    <row r="31" spans="1:11">
      <c r="A31" s="9"/>
      <c r="B31" s="10"/>
      <c r="C31" s="10"/>
      <c r="D31" s="581" t="s">
        <v>1078</v>
      </c>
      <c r="E31" s="581"/>
      <c r="F31" s="581"/>
      <c r="G31" s="582" t="s">
        <v>1079</v>
      </c>
      <c r="H31" s="582"/>
      <c r="I31" s="10"/>
      <c r="J31" s="10"/>
      <c r="K31" s="12"/>
    </row>
    <row r="32" spans="1:11">
      <c r="A32" s="9"/>
      <c r="B32" s="10"/>
      <c r="C32" s="10"/>
      <c r="D32" s="581"/>
      <c r="E32" s="581"/>
      <c r="F32" s="581"/>
      <c r="G32" s="582"/>
      <c r="H32" s="582"/>
      <c r="I32" s="10"/>
      <c r="J32" s="10"/>
      <c r="K32" s="12"/>
    </row>
    <row r="33" spans="1:11">
      <c r="A33" s="9"/>
      <c r="B33" s="10"/>
      <c r="C33" s="10"/>
      <c r="D33" s="581"/>
      <c r="E33" s="581"/>
      <c r="F33" s="581"/>
      <c r="G33" s="582"/>
      <c r="H33" s="582"/>
      <c r="I33" s="10"/>
      <c r="J33" s="10"/>
      <c r="K33" s="12"/>
    </row>
    <row r="34" spans="1:11">
      <c r="A34" s="9"/>
      <c r="B34" s="10"/>
      <c r="C34" s="10"/>
      <c r="D34" s="581"/>
      <c r="E34" s="581"/>
      <c r="F34" s="581"/>
      <c r="G34" s="582"/>
      <c r="H34" s="582"/>
      <c r="I34" s="10"/>
      <c r="J34" s="10"/>
      <c r="K34" s="12"/>
    </row>
    <row r="35" spans="1:11" ht="15.5" customHeight="1">
      <c r="A35" s="9"/>
      <c r="B35" s="10"/>
      <c r="C35" s="10"/>
      <c r="D35" s="464"/>
      <c r="E35" s="464"/>
      <c r="F35" s="464"/>
      <c r="G35" s="11"/>
      <c r="H35" s="11"/>
      <c r="I35" s="10"/>
      <c r="J35" s="10"/>
      <c r="K35" s="12"/>
    </row>
    <row r="36" spans="1:11" ht="17">
      <c r="A36" s="9"/>
      <c r="B36" s="10"/>
      <c r="C36" s="10"/>
      <c r="D36" s="581" t="s">
        <v>1071</v>
      </c>
      <c r="E36" s="581"/>
      <c r="F36" s="581"/>
      <c r="G36" s="465" t="s">
        <v>2</v>
      </c>
      <c r="H36" s="466">
        <v>1</v>
      </c>
      <c r="I36" s="10"/>
      <c r="J36" s="10"/>
      <c r="K36" s="12"/>
    </row>
    <row r="37" spans="1:11" ht="17">
      <c r="A37" s="9"/>
      <c r="B37" s="10"/>
      <c r="C37" s="10"/>
      <c r="D37" s="581"/>
      <c r="E37" s="581"/>
      <c r="F37" s="581"/>
      <c r="G37" s="465" t="s">
        <v>9</v>
      </c>
      <c r="H37" s="466">
        <v>4</v>
      </c>
      <c r="I37" s="10"/>
      <c r="J37" s="10"/>
      <c r="K37" s="12"/>
    </row>
    <row r="38" spans="1:11" ht="17">
      <c r="A38" s="9"/>
      <c r="B38" s="10"/>
      <c r="C38" s="10"/>
      <c r="D38" s="581"/>
      <c r="E38" s="581"/>
      <c r="F38" s="581"/>
      <c r="G38" s="465" t="s">
        <v>10</v>
      </c>
      <c r="H38" s="466">
        <v>2</v>
      </c>
      <c r="I38" s="10"/>
      <c r="J38" s="10"/>
      <c r="K38" s="12"/>
    </row>
    <row r="39" spans="1:11" ht="17">
      <c r="A39" s="9"/>
      <c r="B39" s="10"/>
      <c r="C39" s="10"/>
      <c r="D39" s="581"/>
      <c r="E39" s="581"/>
      <c r="F39" s="581"/>
      <c r="G39" s="465" t="s">
        <v>11</v>
      </c>
      <c r="H39" s="466">
        <v>3</v>
      </c>
      <c r="I39" s="10"/>
      <c r="J39" s="10"/>
      <c r="K39" s="12"/>
    </row>
    <row r="40" spans="1:11" ht="17" thickBot="1">
      <c r="A40" s="14"/>
      <c r="B40" s="15"/>
      <c r="C40" s="15"/>
      <c r="D40" s="15"/>
      <c r="E40" s="15"/>
      <c r="F40" s="15"/>
      <c r="G40" s="15"/>
      <c r="H40" s="15"/>
      <c r="I40" s="15"/>
      <c r="J40" s="15"/>
      <c r="K40" s="16"/>
    </row>
  </sheetData>
  <mergeCells count="8">
    <mergeCell ref="D36:F39"/>
    <mergeCell ref="D31:F34"/>
    <mergeCell ref="G31:H34"/>
    <mergeCell ref="D13:F17"/>
    <mergeCell ref="A1:K1"/>
    <mergeCell ref="B4:J11"/>
    <mergeCell ref="D19:F23"/>
    <mergeCell ref="D25:F29"/>
  </mergeCells>
  <phoneticPr fontId="6" type="noConversion"/>
  <conditionalFormatting sqref="G19">
    <cfRule type="expression" dxfId="639" priority="6">
      <formula>$H$19</formula>
    </cfRule>
  </conditionalFormatting>
  <conditionalFormatting sqref="G20">
    <cfRule type="expression" dxfId="638" priority="5">
      <formula>$H$20</formula>
    </cfRule>
  </conditionalFormatting>
  <conditionalFormatting sqref="G21">
    <cfRule type="expression" dxfId="637" priority="4">
      <formula>$H$21</formula>
    </cfRule>
  </conditionalFormatting>
  <conditionalFormatting sqref="G22">
    <cfRule type="expression" dxfId="636" priority="3">
      <formula>$H$22</formula>
    </cfRule>
  </conditionalFormatting>
  <conditionalFormatting sqref="G23">
    <cfRule type="expression" dxfId="635" priority="2">
      <formula>$H$23</formula>
    </cfRule>
  </conditionalFormatting>
  <conditionalFormatting sqref="G25:H27 G29:H29">
    <cfRule type="expression" dxfId="634" priority="1">
      <formula>$H$28</formula>
    </cfRule>
  </conditionalFormatting>
  <dataValidations disablePrompts="1" count="1">
    <dataValidation type="list" allowBlank="1" showInputMessage="1" showErrorMessage="1" sqref="H13" xr:uid="{A1F0D064-CB86-4564-866A-49D7C2CC603F}">
      <formula1>Option_menu</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1F0A-BDD9-4DD0-A062-7F7CA5844F0B}">
  <sheetPr codeName="Sheet1">
    <tabColor theme="6" tint="0.39997558519241921"/>
  </sheetPr>
  <dimension ref="B1:AP606"/>
  <sheetViews>
    <sheetView showGridLines="0" topLeftCell="E50" zoomScale="65" zoomScaleNormal="115" workbookViewId="0">
      <selection activeCell="U112" sqref="U112:X115"/>
    </sheetView>
  </sheetViews>
  <sheetFormatPr baseColWidth="10" defaultColWidth="8.6640625" defaultRowHeight="15" customHeight="1"/>
  <cols>
    <col min="1" max="2" width="3.1640625" style="95" customWidth="1"/>
    <col min="3" max="6" width="8.83203125" style="282" customWidth="1"/>
    <col min="7" max="7" width="3.33203125" style="95" customWidth="1"/>
    <col min="8" max="8" width="3.1640625" style="95" customWidth="1"/>
    <col min="9" max="9" width="3.33203125" style="95" customWidth="1"/>
    <col min="10" max="10" width="9.33203125" style="96" bestFit="1" customWidth="1"/>
    <col min="11" max="13" width="15.6640625" style="223" customWidth="1"/>
    <col min="14" max="14" width="3.1640625" style="95" customWidth="1"/>
    <col min="15" max="15" width="41.5" style="101" customWidth="1"/>
    <col min="16" max="16" width="17.33203125" style="101" customWidth="1"/>
    <col min="17" max="17" width="17.5" style="101" customWidth="1"/>
    <col min="18" max="18" width="20.5" style="95" customWidth="1"/>
    <col min="19" max="19" width="19.6640625" style="97" bestFit="1" customWidth="1"/>
    <col min="20" max="20" width="3.1640625" style="95" customWidth="1"/>
    <col min="21" max="24" width="9.83203125" style="95" customWidth="1"/>
    <col min="25" max="27" width="3.1640625" style="95" customWidth="1"/>
    <col min="28" max="31" width="21" style="282" customWidth="1"/>
    <col min="32" max="32" width="3.33203125" style="95" customWidth="1"/>
    <col min="33" max="33" width="7.6640625" style="95" customWidth="1"/>
    <col min="34" max="34" width="20" style="102" bestFit="1" customWidth="1"/>
    <col min="35" max="35" width="28.1640625" style="102" customWidth="1"/>
    <col min="36" max="36" width="31.6640625" style="102" bestFit="1" customWidth="1"/>
    <col min="37" max="37" width="6.83203125" style="103" customWidth="1"/>
    <col min="38" max="38" width="9.83203125" style="102" bestFit="1" customWidth="1"/>
    <col min="39" max="39" width="14.5" style="102" bestFit="1" customWidth="1"/>
    <col min="40" max="40" width="14.5" style="97" bestFit="1" customWidth="1"/>
    <col min="41" max="41" width="18.5" style="97" bestFit="1" customWidth="1"/>
    <col min="42" max="42" width="8.6640625" style="103" customWidth="1"/>
    <col min="43" max="16384" width="8.6640625" style="95"/>
  </cols>
  <sheetData>
    <row r="1" spans="2:41" ht="19" thickBot="1"/>
    <row r="2" spans="2:41" ht="17.5" customHeight="1">
      <c r="B2" s="635" t="s">
        <v>81</v>
      </c>
      <c r="C2" s="636"/>
      <c r="D2" s="636"/>
      <c r="E2" s="636"/>
      <c r="F2" s="636"/>
      <c r="G2" s="637"/>
      <c r="H2" s="170"/>
      <c r="I2" s="635" t="s">
        <v>14</v>
      </c>
      <c r="J2" s="636"/>
      <c r="K2" s="636"/>
      <c r="L2" s="636"/>
      <c r="M2" s="636"/>
      <c r="N2" s="636"/>
      <c r="O2" s="636"/>
      <c r="P2" s="636"/>
      <c r="Q2" s="636"/>
      <c r="R2" s="636"/>
      <c r="S2" s="636"/>
      <c r="T2" s="636"/>
      <c r="U2" s="636"/>
      <c r="V2" s="636"/>
      <c r="W2" s="636"/>
      <c r="X2" s="636"/>
      <c r="Y2" s="637"/>
      <c r="Z2" s="170"/>
      <c r="AA2" s="635" t="s">
        <v>454</v>
      </c>
      <c r="AB2" s="636"/>
      <c r="AC2" s="636"/>
      <c r="AD2" s="636"/>
      <c r="AE2" s="636"/>
      <c r="AF2" s="637"/>
      <c r="AG2" s="99"/>
      <c r="AH2" s="104"/>
      <c r="AI2" s="104"/>
      <c r="AJ2" s="104"/>
      <c r="AK2" s="105"/>
    </row>
    <row r="3" spans="2:41" ht="17.5" customHeight="1" thickBot="1">
      <c r="B3" s="638"/>
      <c r="C3" s="639"/>
      <c r="D3" s="639"/>
      <c r="E3" s="639"/>
      <c r="F3" s="639"/>
      <c r="G3" s="640"/>
      <c r="H3" s="170"/>
      <c r="I3" s="638"/>
      <c r="J3" s="639"/>
      <c r="K3" s="639"/>
      <c r="L3" s="639"/>
      <c r="M3" s="639"/>
      <c r="N3" s="639"/>
      <c r="O3" s="639"/>
      <c r="P3" s="639"/>
      <c r="Q3" s="639"/>
      <c r="R3" s="639"/>
      <c r="S3" s="639"/>
      <c r="T3" s="639"/>
      <c r="U3" s="639"/>
      <c r="V3" s="639"/>
      <c r="W3" s="639"/>
      <c r="X3" s="639"/>
      <c r="Y3" s="640"/>
      <c r="Z3" s="170"/>
      <c r="AA3" s="638"/>
      <c r="AB3" s="639"/>
      <c r="AC3" s="639"/>
      <c r="AD3" s="639"/>
      <c r="AE3" s="639"/>
      <c r="AF3" s="640"/>
      <c r="AG3" s="99"/>
      <c r="AH3" s="104"/>
      <c r="AI3" s="104"/>
      <c r="AJ3" s="104"/>
      <c r="AK3" s="105"/>
    </row>
    <row r="4" spans="2:41" ht="18">
      <c r="B4" s="19"/>
      <c r="C4" s="45"/>
      <c r="D4" s="45"/>
      <c r="E4" s="45"/>
      <c r="F4" s="45"/>
      <c r="G4" s="20"/>
      <c r="H4" s="169"/>
      <c r="I4" s="19"/>
      <c r="J4" s="56"/>
      <c r="K4" s="224"/>
      <c r="L4" s="224"/>
      <c r="M4" s="224"/>
      <c r="N4" s="17"/>
      <c r="O4" s="40"/>
      <c r="P4" s="40"/>
      <c r="Q4" s="40"/>
      <c r="R4" s="17"/>
      <c r="S4" s="25"/>
      <c r="T4" s="17"/>
      <c r="U4" s="17"/>
      <c r="V4" s="17"/>
      <c r="W4" s="17"/>
      <c r="X4" s="17"/>
      <c r="Y4" s="20"/>
      <c r="Z4" s="169"/>
      <c r="AA4" s="19"/>
      <c r="AB4" s="45"/>
      <c r="AC4" s="45"/>
      <c r="AD4" s="45"/>
      <c r="AE4" s="45"/>
      <c r="AF4" s="20"/>
    </row>
    <row r="5" spans="2:41" ht="18">
      <c r="B5" s="19"/>
      <c r="C5" s="721" t="s">
        <v>1084</v>
      </c>
      <c r="D5" s="722"/>
      <c r="E5" s="722"/>
      <c r="F5" s="723"/>
      <c r="G5" s="20"/>
      <c r="H5" s="169"/>
      <c r="I5" s="19"/>
      <c r="J5" s="670" t="s">
        <v>15</v>
      </c>
      <c r="K5" s="670"/>
      <c r="L5" s="670"/>
      <c r="M5" s="670"/>
      <c r="N5" s="670"/>
      <c r="O5" s="670"/>
      <c r="P5" s="670"/>
      <c r="Q5" s="670"/>
      <c r="R5" s="670"/>
      <c r="S5" s="670"/>
      <c r="T5" s="670"/>
      <c r="U5" s="670"/>
      <c r="V5" s="670"/>
      <c r="W5" s="670"/>
      <c r="X5" s="670"/>
      <c r="Y5" s="20"/>
      <c r="Z5" s="169"/>
      <c r="AA5" s="19"/>
      <c r="AB5" s="45"/>
      <c r="AC5" s="45"/>
      <c r="AD5" s="45"/>
      <c r="AE5" s="45"/>
      <c r="AF5" s="20"/>
    </row>
    <row r="6" spans="2:41" ht="18">
      <c r="B6" s="19"/>
      <c r="C6" s="724"/>
      <c r="D6" s="725"/>
      <c r="E6" s="725"/>
      <c r="F6" s="726"/>
      <c r="G6" s="20"/>
      <c r="H6" s="169"/>
      <c r="I6" s="19"/>
      <c r="J6" s="56"/>
      <c r="K6" s="224"/>
      <c r="L6" s="224"/>
      <c r="M6" s="224"/>
      <c r="N6" s="17"/>
      <c r="O6" s="40"/>
      <c r="P6" s="40"/>
      <c r="Q6" s="40"/>
      <c r="R6" s="17"/>
      <c r="S6" s="25"/>
      <c r="T6" s="17"/>
      <c r="U6" s="17"/>
      <c r="V6" s="17"/>
      <c r="W6" s="17"/>
      <c r="X6" s="17"/>
      <c r="Y6" s="20"/>
      <c r="Z6" s="169"/>
      <c r="AA6" s="19"/>
      <c r="AB6" s="45"/>
      <c r="AC6" s="45"/>
      <c r="AD6" s="45"/>
      <c r="AE6" s="45"/>
      <c r="AF6" s="20"/>
    </row>
    <row r="7" spans="2:41" ht="18">
      <c r="B7" s="19"/>
      <c r="C7" s="724"/>
      <c r="D7" s="725"/>
      <c r="E7" s="725"/>
      <c r="F7" s="726"/>
      <c r="G7" s="20"/>
      <c r="H7" s="169"/>
      <c r="I7" s="19"/>
      <c r="J7" s="28" t="s">
        <v>16</v>
      </c>
      <c r="K7" s="225" t="s">
        <v>864</v>
      </c>
      <c r="L7" s="224"/>
      <c r="M7" s="224"/>
      <c r="N7" s="17"/>
      <c r="O7" s="40"/>
      <c r="P7" s="40"/>
      <c r="Q7" s="40"/>
      <c r="R7" s="17"/>
      <c r="S7" s="25"/>
      <c r="T7" s="17"/>
      <c r="U7" s="17"/>
      <c r="V7" s="17"/>
      <c r="W7" s="17"/>
      <c r="X7" s="17"/>
      <c r="Y7" s="20"/>
      <c r="Z7" s="169"/>
      <c r="AA7" s="19"/>
      <c r="AB7" s="45"/>
      <c r="AC7" s="45"/>
      <c r="AD7" s="45"/>
      <c r="AE7" s="45"/>
      <c r="AF7" s="20"/>
      <c r="AH7" s="437" t="s">
        <v>440</v>
      </c>
      <c r="AI7" s="438" t="s">
        <v>556</v>
      </c>
      <c r="AJ7" s="439" t="s">
        <v>557</v>
      </c>
      <c r="AK7" s="108"/>
      <c r="AL7" s="109" t="s">
        <v>434</v>
      </c>
      <c r="AM7" s="109" t="s">
        <v>435</v>
      </c>
      <c r="AN7" s="109" t="s">
        <v>435</v>
      </c>
      <c r="AO7" s="691" t="s">
        <v>505</v>
      </c>
    </row>
    <row r="8" spans="2:41" ht="19" thickBot="1">
      <c r="B8" s="19"/>
      <c r="C8" s="724"/>
      <c r="D8" s="725"/>
      <c r="E8" s="725"/>
      <c r="F8" s="726"/>
      <c r="G8" s="20"/>
      <c r="H8" s="169"/>
      <c r="I8" s="19"/>
      <c r="J8" s="56"/>
      <c r="K8" s="224"/>
      <c r="L8" s="224"/>
      <c r="M8" s="224"/>
      <c r="N8" s="17"/>
      <c r="O8" s="40"/>
      <c r="P8" s="523" t="s">
        <v>1165</v>
      </c>
      <c r="Q8" s="523" t="s">
        <v>1166</v>
      </c>
      <c r="R8" s="524" t="s">
        <v>1167</v>
      </c>
      <c r="S8" s="523" t="s">
        <v>1168</v>
      </c>
      <c r="T8" s="17"/>
      <c r="U8" s="17"/>
      <c r="V8" s="17"/>
      <c r="W8" s="17"/>
      <c r="X8" s="17"/>
      <c r="Y8" s="20"/>
      <c r="Z8" s="169"/>
      <c r="AA8" s="19"/>
      <c r="AB8" s="45"/>
      <c r="AC8" s="45"/>
      <c r="AD8" s="45"/>
      <c r="AE8" s="45"/>
      <c r="AF8" s="20"/>
      <c r="AH8" s="110"/>
      <c r="AI8" s="111"/>
      <c r="AJ8" s="188"/>
      <c r="AL8" s="188"/>
      <c r="AM8" s="188" t="s">
        <v>503</v>
      </c>
      <c r="AN8" s="188" t="s">
        <v>504</v>
      </c>
      <c r="AO8" s="691"/>
    </row>
    <row r="9" spans="2:41" ht="15.5" customHeight="1">
      <c r="B9" s="27"/>
      <c r="C9" s="724"/>
      <c r="D9" s="725"/>
      <c r="E9" s="725"/>
      <c r="F9" s="726"/>
      <c r="G9" s="23"/>
      <c r="H9" s="171"/>
      <c r="I9" s="19"/>
      <c r="J9" s="690">
        <v>1.1000000000000001</v>
      </c>
      <c r="K9" s="710" t="s">
        <v>1169</v>
      </c>
      <c r="L9" s="711"/>
      <c r="M9" s="712"/>
      <c r="N9" s="17"/>
      <c r="O9" s="526" t="s">
        <v>18</v>
      </c>
      <c r="P9" s="527" t="b">
        <v>0</v>
      </c>
      <c r="Q9" s="527" t="b">
        <v>0</v>
      </c>
      <c r="R9" s="528" t="b">
        <v>0</v>
      </c>
      <c r="S9" s="529" t="b">
        <v>0</v>
      </c>
      <c r="T9" s="22"/>
      <c r="U9" s="677" t="s">
        <v>80</v>
      </c>
      <c r="V9" s="678"/>
      <c r="W9" s="678"/>
      <c r="X9" s="679"/>
      <c r="Y9" s="23"/>
      <c r="Z9" s="171"/>
      <c r="AA9" s="27"/>
      <c r="AB9" s="674" t="str">
        <f>IF(S22,Feedback_List!B3, " ")</f>
        <v xml:space="preserve"> </v>
      </c>
      <c r="AC9" s="675"/>
      <c r="AD9" s="675"/>
      <c r="AE9" s="676"/>
      <c r="AF9" s="23"/>
      <c r="AG9" s="100"/>
      <c r="AH9" s="199">
        <f>IF(OR(P9:S9),1,0)</f>
        <v>0</v>
      </c>
      <c r="AI9" s="205">
        <f>IF(AH9=1,4,0)</f>
        <v>0</v>
      </c>
      <c r="AJ9" s="598">
        <f>SUM(AI9:AI41) * AO9</f>
        <v>0</v>
      </c>
      <c r="AL9" s="114">
        <v>1</v>
      </c>
      <c r="AM9" s="114">
        <v>21</v>
      </c>
      <c r="AN9" s="114">
        <v>4</v>
      </c>
      <c r="AO9" s="206">
        <f>AN9/AM9</f>
        <v>0.19047619047619047</v>
      </c>
    </row>
    <row r="10" spans="2:41" ht="15.5" customHeight="1">
      <c r="B10" s="27"/>
      <c r="C10" s="724"/>
      <c r="D10" s="725"/>
      <c r="E10" s="725"/>
      <c r="F10" s="726"/>
      <c r="G10" s="23"/>
      <c r="H10" s="171"/>
      <c r="I10" s="19"/>
      <c r="J10" s="624"/>
      <c r="K10" s="713"/>
      <c r="L10" s="714"/>
      <c r="M10" s="715"/>
      <c r="N10" s="17"/>
      <c r="O10" s="530" t="s">
        <v>506</v>
      </c>
      <c r="P10" s="184" t="b">
        <v>0</v>
      </c>
      <c r="Q10" s="184" t="b">
        <v>0</v>
      </c>
      <c r="R10" s="281" t="b">
        <v>0</v>
      </c>
      <c r="S10" s="531" t="b">
        <v>0</v>
      </c>
      <c r="T10" s="22"/>
      <c r="U10" s="629"/>
      <c r="V10" s="630"/>
      <c r="W10" s="630"/>
      <c r="X10" s="631"/>
      <c r="Y10" s="23"/>
      <c r="Z10" s="171"/>
      <c r="AA10" s="27"/>
      <c r="AB10" s="662"/>
      <c r="AC10" s="663"/>
      <c r="AD10" s="663"/>
      <c r="AE10" s="664"/>
      <c r="AF10" s="23"/>
      <c r="AG10" s="100"/>
      <c r="AH10" s="115">
        <f t="shared" ref="AH10:AH21" si="0">IF(OR(P10:S10),1,0)</f>
        <v>0</v>
      </c>
      <c r="AI10" s="116">
        <f>IF(AH10=1,2,0)</f>
        <v>0</v>
      </c>
      <c r="AJ10" s="599"/>
      <c r="AL10" s="114">
        <v>2</v>
      </c>
      <c r="AM10" s="114">
        <v>42</v>
      </c>
      <c r="AN10" s="187">
        <v>5</v>
      </c>
      <c r="AO10" s="206">
        <f t="shared" ref="AO10:AO12" si="1">AN10/AM10</f>
        <v>0.11904761904761904</v>
      </c>
    </row>
    <row r="11" spans="2:41" ht="15.5" customHeight="1">
      <c r="B11" s="27"/>
      <c r="C11" s="724"/>
      <c r="D11" s="725"/>
      <c r="E11" s="725"/>
      <c r="F11" s="726"/>
      <c r="G11" s="23"/>
      <c r="H11" s="171"/>
      <c r="I11" s="19"/>
      <c r="J11" s="624"/>
      <c r="K11" s="713"/>
      <c r="L11" s="714"/>
      <c r="M11" s="715"/>
      <c r="N11" s="17"/>
      <c r="O11" s="530" t="s">
        <v>19</v>
      </c>
      <c r="P11" s="184" t="b">
        <v>0</v>
      </c>
      <c r="Q11" s="184" t="b">
        <v>0</v>
      </c>
      <c r="R11" s="281" t="b">
        <v>0</v>
      </c>
      <c r="S11" s="531" t="b">
        <v>0</v>
      </c>
      <c r="T11" s="22"/>
      <c r="U11" s="629"/>
      <c r="V11" s="630"/>
      <c r="W11" s="630"/>
      <c r="X11" s="631"/>
      <c r="Y11" s="23"/>
      <c r="Z11" s="171"/>
      <c r="AA11" s="27"/>
      <c r="AB11" s="662"/>
      <c r="AC11" s="663"/>
      <c r="AD11" s="663"/>
      <c r="AE11" s="664"/>
      <c r="AF11" s="23"/>
      <c r="AG11" s="100"/>
      <c r="AH11" s="115">
        <f t="shared" si="0"/>
        <v>0</v>
      </c>
      <c r="AI11" s="116">
        <f>IF(AH11=1,1,0)</f>
        <v>0</v>
      </c>
      <c r="AJ11" s="599"/>
      <c r="AL11" s="114">
        <v>3</v>
      </c>
      <c r="AM11" s="114">
        <v>21</v>
      </c>
      <c r="AN11" s="114">
        <v>3</v>
      </c>
      <c r="AO11" s="206">
        <f t="shared" si="1"/>
        <v>0.14285714285714285</v>
      </c>
    </row>
    <row r="12" spans="2:41" ht="15.5" customHeight="1">
      <c r="B12" s="27"/>
      <c r="C12" s="724"/>
      <c r="D12" s="725"/>
      <c r="E12" s="725"/>
      <c r="F12" s="726"/>
      <c r="G12" s="23"/>
      <c r="H12" s="171"/>
      <c r="I12" s="19"/>
      <c r="J12" s="624"/>
      <c r="K12" s="713"/>
      <c r="L12" s="714"/>
      <c r="M12" s="715"/>
      <c r="N12" s="17"/>
      <c r="O12" s="530" t="s">
        <v>20</v>
      </c>
      <c r="P12" s="184" t="b">
        <v>0</v>
      </c>
      <c r="Q12" s="184" t="b">
        <v>0</v>
      </c>
      <c r="R12" s="281" t="b">
        <v>0</v>
      </c>
      <c r="S12" s="531" t="b">
        <v>0</v>
      </c>
      <c r="T12" s="22"/>
      <c r="U12" s="629"/>
      <c r="V12" s="630"/>
      <c r="W12" s="630"/>
      <c r="X12" s="631"/>
      <c r="Y12" s="23"/>
      <c r="Z12" s="171"/>
      <c r="AA12" s="27"/>
      <c r="AB12" s="662"/>
      <c r="AC12" s="663"/>
      <c r="AD12" s="663"/>
      <c r="AE12" s="664"/>
      <c r="AF12" s="23"/>
      <c r="AG12" s="100"/>
      <c r="AH12" s="115">
        <f t="shared" si="0"/>
        <v>0</v>
      </c>
      <c r="AI12" s="116">
        <f t="shared" ref="AI12:AI17" si="2">IF(AH12=1,1,0)</f>
        <v>0</v>
      </c>
      <c r="AJ12" s="599"/>
      <c r="AL12" s="114">
        <v>4</v>
      </c>
      <c r="AM12" s="114">
        <v>15</v>
      </c>
      <c r="AN12" s="114">
        <v>3</v>
      </c>
      <c r="AO12" s="206">
        <f t="shared" si="1"/>
        <v>0.2</v>
      </c>
    </row>
    <row r="13" spans="2:41" ht="15.5" customHeight="1">
      <c r="B13" s="27"/>
      <c r="C13" s="724"/>
      <c r="D13" s="725"/>
      <c r="E13" s="725"/>
      <c r="F13" s="726"/>
      <c r="G13" s="23"/>
      <c r="H13" s="171"/>
      <c r="I13" s="19"/>
      <c r="J13" s="624"/>
      <c r="K13" s="713"/>
      <c r="L13" s="714"/>
      <c r="M13" s="715"/>
      <c r="N13" s="17"/>
      <c r="O13" s="530" t="s">
        <v>1058</v>
      </c>
      <c r="P13" s="184" t="b">
        <v>0</v>
      </c>
      <c r="Q13" s="184" t="b">
        <v>0</v>
      </c>
      <c r="R13" s="281" t="b">
        <v>0</v>
      </c>
      <c r="S13" s="531" t="b">
        <v>0</v>
      </c>
      <c r="T13" s="22"/>
      <c r="U13" s="629"/>
      <c r="V13" s="630"/>
      <c r="W13" s="630"/>
      <c r="X13" s="631"/>
      <c r="Y13" s="23"/>
      <c r="Z13" s="171"/>
      <c r="AA13" s="27"/>
      <c r="AB13" s="662"/>
      <c r="AC13" s="663"/>
      <c r="AD13" s="663"/>
      <c r="AE13" s="664"/>
      <c r="AF13" s="23"/>
      <c r="AG13" s="100"/>
      <c r="AH13" s="115">
        <f t="shared" si="0"/>
        <v>0</v>
      </c>
      <c r="AI13" s="116">
        <f t="shared" si="2"/>
        <v>0</v>
      </c>
      <c r="AJ13" s="599"/>
      <c r="AL13" s="264" t="s">
        <v>596</v>
      </c>
      <c r="AM13" s="264">
        <f>SUM(AM9:AM12)</f>
        <v>99</v>
      </c>
      <c r="AN13" s="264">
        <f>SUM(AN9:AN12)</f>
        <v>15</v>
      </c>
    </row>
    <row r="14" spans="2:41" ht="15.5" customHeight="1">
      <c r="B14" s="27"/>
      <c r="C14" s="724"/>
      <c r="D14" s="725"/>
      <c r="E14" s="725"/>
      <c r="F14" s="726"/>
      <c r="G14" s="23"/>
      <c r="H14" s="171"/>
      <c r="I14" s="19"/>
      <c r="J14" s="624"/>
      <c r="K14" s="713"/>
      <c r="L14" s="714"/>
      <c r="M14" s="715"/>
      <c r="N14" s="17"/>
      <c r="O14" s="530" t="s">
        <v>1059</v>
      </c>
      <c r="P14" s="184" t="b">
        <v>0</v>
      </c>
      <c r="Q14" s="184" t="b">
        <v>0</v>
      </c>
      <c r="R14" s="281" t="b">
        <v>0</v>
      </c>
      <c r="S14" s="531" t="b">
        <v>0</v>
      </c>
      <c r="T14" s="22"/>
      <c r="U14" s="629"/>
      <c r="V14" s="630"/>
      <c r="W14" s="630"/>
      <c r="X14" s="631"/>
      <c r="Y14" s="23"/>
      <c r="Z14" s="171"/>
      <c r="AA14" s="27"/>
      <c r="AB14" s="662"/>
      <c r="AC14" s="663"/>
      <c r="AD14" s="663"/>
      <c r="AE14" s="664"/>
      <c r="AF14" s="23"/>
      <c r="AG14" s="100"/>
      <c r="AH14" s="115">
        <f t="shared" si="0"/>
        <v>0</v>
      </c>
      <c r="AI14" s="116">
        <f t="shared" si="2"/>
        <v>0</v>
      </c>
      <c r="AJ14" s="599"/>
    </row>
    <row r="15" spans="2:41" ht="15.5" customHeight="1">
      <c r="B15" s="27"/>
      <c r="C15" s="724"/>
      <c r="D15" s="725"/>
      <c r="E15" s="725"/>
      <c r="F15" s="726"/>
      <c r="G15" s="23"/>
      <c r="H15" s="171"/>
      <c r="I15" s="19"/>
      <c r="J15" s="624"/>
      <c r="K15" s="713"/>
      <c r="L15" s="714"/>
      <c r="M15" s="715"/>
      <c r="N15" s="17"/>
      <c r="O15" s="530" t="s">
        <v>1060</v>
      </c>
      <c r="P15" s="184" t="b">
        <v>0</v>
      </c>
      <c r="Q15" s="184" t="b">
        <v>0</v>
      </c>
      <c r="R15" s="281" t="b">
        <v>0</v>
      </c>
      <c r="S15" s="531" t="b">
        <v>0</v>
      </c>
      <c r="T15" s="22"/>
      <c r="U15" s="629"/>
      <c r="V15" s="630"/>
      <c r="W15" s="630"/>
      <c r="X15" s="631"/>
      <c r="Y15" s="23"/>
      <c r="Z15" s="171"/>
      <c r="AA15" s="27"/>
      <c r="AB15" s="662"/>
      <c r="AC15" s="663"/>
      <c r="AD15" s="663"/>
      <c r="AE15" s="664"/>
      <c r="AF15" s="23"/>
      <c r="AG15" s="100"/>
      <c r="AH15" s="115">
        <f t="shared" si="0"/>
        <v>0</v>
      </c>
      <c r="AI15" s="116">
        <f t="shared" si="2"/>
        <v>0</v>
      </c>
      <c r="AJ15" s="599"/>
    </row>
    <row r="16" spans="2:41" ht="15.5" customHeight="1">
      <c r="B16" s="27"/>
      <c r="C16" s="724"/>
      <c r="D16" s="725"/>
      <c r="E16" s="725"/>
      <c r="F16" s="726"/>
      <c r="G16" s="23"/>
      <c r="H16" s="171"/>
      <c r="I16" s="19"/>
      <c r="J16" s="624"/>
      <c r="K16" s="713"/>
      <c r="L16" s="714"/>
      <c r="M16" s="715"/>
      <c r="N16" s="17"/>
      <c r="O16" s="530" t="s">
        <v>21</v>
      </c>
      <c r="P16" s="184" t="b">
        <v>0</v>
      </c>
      <c r="Q16" s="184" t="b">
        <v>0</v>
      </c>
      <c r="R16" s="281" t="b">
        <v>0</v>
      </c>
      <c r="S16" s="531" t="b">
        <v>0</v>
      </c>
      <c r="T16" s="22"/>
      <c r="U16" s="629"/>
      <c r="V16" s="630"/>
      <c r="W16" s="630"/>
      <c r="X16" s="631"/>
      <c r="Y16" s="23"/>
      <c r="Z16" s="171"/>
      <c r="AA16" s="27"/>
      <c r="AB16" s="662"/>
      <c r="AC16" s="663"/>
      <c r="AD16" s="663"/>
      <c r="AE16" s="664"/>
      <c r="AF16" s="23"/>
      <c r="AG16" s="100"/>
      <c r="AH16" s="115">
        <f>IF(OR(P16:S16),1,0)</f>
        <v>0</v>
      </c>
      <c r="AI16" s="116">
        <f t="shared" si="2"/>
        <v>0</v>
      </c>
      <c r="AJ16" s="599"/>
    </row>
    <row r="17" spans="2:36" ht="15.5" customHeight="1">
      <c r="B17" s="27"/>
      <c r="C17" s="724"/>
      <c r="D17" s="725"/>
      <c r="E17" s="725"/>
      <c r="F17" s="726"/>
      <c r="G17" s="23"/>
      <c r="H17" s="171"/>
      <c r="I17" s="19"/>
      <c r="J17" s="624"/>
      <c r="K17" s="713"/>
      <c r="L17" s="714"/>
      <c r="M17" s="715"/>
      <c r="N17" s="17"/>
      <c r="O17" s="530" t="s">
        <v>22</v>
      </c>
      <c r="P17" s="184" t="b">
        <v>0</v>
      </c>
      <c r="Q17" s="184" t="b">
        <v>0</v>
      </c>
      <c r="R17" s="281" t="b">
        <v>0</v>
      </c>
      <c r="S17" s="531" t="b">
        <v>0</v>
      </c>
      <c r="T17" s="22"/>
      <c r="U17" s="629"/>
      <c r="V17" s="630"/>
      <c r="W17" s="630"/>
      <c r="X17" s="631"/>
      <c r="Y17" s="23"/>
      <c r="Z17" s="171"/>
      <c r="AA17" s="27"/>
      <c r="AB17" s="662"/>
      <c r="AC17" s="663"/>
      <c r="AD17" s="663"/>
      <c r="AE17" s="664"/>
      <c r="AF17" s="23"/>
      <c r="AG17" s="100"/>
      <c r="AH17" s="115">
        <f t="shared" si="0"/>
        <v>0</v>
      </c>
      <c r="AI17" s="116">
        <f t="shared" si="2"/>
        <v>0</v>
      </c>
      <c r="AJ17" s="599"/>
    </row>
    <row r="18" spans="2:36" ht="15.5" customHeight="1">
      <c r="B18" s="27"/>
      <c r="C18" s="724"/>
      <c r="D18" s="725"/>
      <c r="E18" s="725"/>
      <c r="F18" s="726"/>
      <c r="G18" s="23"/>
      <c r="H18" s="171"/>
      <c r="I18" s="19"/>
      <c r="J18" s="624"/>
      <c r="K18" s="713"/>
      <c r="L18" s="714"/>
      <c r="M18" s="715"/>
      <c r="N18" s="17"/>
      <c r="O18" s="530" t="s">
        <v>23</v>
      </c>
      <c r="P18" s="184" t="b">
        <v>0</v>
      </c>
      <c r="Q18" s="184" t="b">
        <v>0</v>
      </c>
      <c r="R18" s="281" t="b">
        <v>0</v>
      </c>
      <c r="S18" s="531" t="b">
        <v>0</v>
      </c>
      <c r="T18" s="22"/>
      <c r="U18" s="629"/>
      <c r="V18" s="630"/>
      <c r="W18" s="630"/>
      <c r="X18" s="631"/>
      <c r="Y18" s="23"/>
      <c r="Z18" s="171"/>
      <c r="AA18" s="27"/>
      <c r="AB18" s="662"/>
      <c r="AC18" s="663"/>
      <c r="AD18" s="663"/>
      <c r="AE18" s="664"/>
      <c r="AF18" s="23"/>
      <c r="AG18" s="100"/>
      <c r="AH18" s="115">
        <f t="shared" si="0"/>
        <v>0</v>
      </c>
      <c r="AI18" s="116">
        <f>IF(AH18=1,0,0)</f>
        <v>0</v>
      </c>
      <c r="AJ18" s="599"/>
    </row>
    <row r="19" spans="2:36" ht="15.5" customHeight="1">
      <c r="B19" s="27"/>
      <c r="C19" s="724"/>
      <c r="D19" s="725"/>
      <c r="E19" s="725"/>
      <c r="F19" s="726"/>
      <c r="G19" s="23"/>
      <c r="H19" s="171"/>
      <c r="I19" s="19"/>
      <c r="J19" s="624"/>
      <c r="K19" s="713"/>
      <c r="L19" s="714"/>
      <c r="M19" s="715"/>
      <c r="N19" s="17"/>
      <c r="O19" s="530" t="s">
        <v>24</v>
      </c>
      <c r="P19" s="184" t="b">
        <v>0</v>
      </c>
      <c r="Q19" s="184" t="b">
        <v>0</v>
      </c>
      <c r="R19" s="281" t="b">
        <v>0</v>
      </c>
      <c r="S19" s="531" t="b">
        <v>0</v>
      </c>
      <c r="T19" s="22"/>
      <c r="U19" s="629"/>
      <c r="V19" s="630"/>
      <c r="W19" s="630"/>
      <c r="X19" s="631"/>
      <c r="Y19" s="23"/>
      <c r="Z19" s="171"/>
      <c r="AA19" s="27"/>
      <c r="AB19" s="662"/>
      <c r="AC19" s="663"/>
      <c r="AD19" s="663"/>
      <c r="AE19" s="664"/>
      <c r="AF19" s="23"/>
      <c r="AG19" s="100"/>
      <c r="AH19" s="115">
        <f t="shared" si="0"/>
        <v>0</v>
      </c>
      <c r="AI19" s="116">
        <f>IF(AH19=1,0,0)</f>
        <v>0</v>
      </c>
      <c r="AJ19" s="599"/>
    </row>
    <row r="20" spans="2:36" ht="15.5" customHeight="1">
      <c r="B20" s="27"/>
      <c r="C20" s="724"/>
      <c r="D20" s="725"/>
      <c r="E20" s="725"/>
      <c r="F20" s="726"/>
      <c r="G20" s="23"/>
      <c r="H20" s="171"/>
      <c r="I20" s="19"/>
      <c r="J20" s="624"/>
      <c r="K20" s="713"/>
      <c r="L20" s="714"/>
      <c r="M20" s="715"/>
      <c r="N20" s="17"/>
      <c r="O20" s="530" t="s">
        <v>25</v>
      </c>
      <c r="P20" s="184" t="b">
        <v>0</v>
      </c>
      <c r="Q20" s="184" t="b">
        <v>0</v>
      </c>
      <c r="R20" s="281" t="b">
        <v>0</v>
      </c>
      <c r="S20" s="531" t="b">
        <v>0</v>
      </c>
      <c r="T20" s="22"/>
      <c r="U20" s="629"/>
      <c r="V20" s="630"/>
      <c r="W20" s="630"/>
      <c r="X20" s="631"/>
      <c r="Y20" s="23"/>
      <c r="Z20" s="171"/>
      <c r="AA20" s="27"/>
      <c r="AB20" s="662"/>
      <c r="AC20" s="663"/>
      <c r="AD20" s="663"/>
      <c r="AE20" s="664"/>
      <c r="AF20" s="23"/>
      <c r="AG20" s="100"/>
      <c r="AH20" s="115">
        <f t="shared" si="0"/>
        <v>0</v>
      </c>
      <c r="AI20" s="116">
        <f>IF(AH20=1,0,0)</f>
        <v>0</v>
      </c>
      <c r="AJ20" s="599"/>
    </row>
    <row r="21" spans="2:36" ht="15.5" customHeight="1" thickBot="1">
      <c r="B21" s="27"/>
      <c r="C21" s="724"/>
      <c r="D21" s="725"/>
      <c r="E21" s="725"/>
      <c r="F21" s="726"/>
      <c r="G21" s="23"/>
      <c r="H21" s="171"/>
      <c r="I21" s="19"/>
      <c r="J21" s="624"/>
      <c r="K21" s="713"/>
      <c r="L21" s="714"/>
      <c r="M21" s="715"/>
      <c r="N21" s="17"/>
      <c r="O21" s="532" t="s">
        <v>1061</v>
      </c>
      <c r="P21" s="533" t="b">
        <v>0</v>
      </c>
      <c r="Q21" s="533" t="b">
        <v>0</v>
      </c>
      <c r="R21" s="534" t="b">
        <v>0</v>
      </c>
      <c r="S21" s="535" t="b">
        <v>0</v>
      </c>
      <c r="T21" s="22"/>
      <c r="U21" s="629"/>
      <c r="V21" s="630"/>
      <c r="W21" s="630"/>
      <c r="X21" s="631"/>
      <c r="Y21" s="23"/>
      <c r="Z21" s="171"/>
      <c r="AA21" s="27"/>
      <c r="AB21" s="662"/>
      <c r="AC21" s="663"/>
      <c r="AD21" s="663"/>
      <c r="AE21" s="664"/>
      <c r="AF21" s="23"/>
      <c r="AG21" s="100"/>
      <c r="AH21" s="115">
        <f t="shared" si="0"/>
        <v>0</v>
      </c>
      <c r="AI21" s="116">
        <f>IF(AH21=1,0,0)</f>
        <v>0</v>
      </c>
      <c r="AJ21" s="599"/>
    </row>
    <row r="22" spans="2:36" ht="15.5" customHeight="1">
      <c r="B22" s="27"/>
      <c r="C22" s="724"/>
      <c r="D22" s="725"/>
      <c r="E22" s="725"/>
      <c r="F22" s="726"/>
      <c r="G22" s="23"/>
      <c r="H22" s="171"/>
      <c r="I22" s="19"/>
      <c r="J22" s="624"/>
      <c r="K22" s="713"/>
      <c r="L22" s="714"/>
      <c r="M22" s="715"/>
      <c r="N22" s="17"/>
      <c r="O22" s="692" t="s">
        <v>607</v>
      </c>
      <c r="P22" s="693"/>
      <c r="Q22" s="693"/>
      <c r="R22" s="694"/>
      <c r="S22" s="525" t="b">
        <v>0</v>
      </c>
      <c r="T22" s="22"/>
      <c r="U22" s="629"/>
      <c r="V22" s="630"/>
      <c r="W22" s="630"/>
      <c r="X22" s="631"/>
      <c r="Y22" s="23"/>
      <c r="Z22" s="171"/>
      <c r="AA22" s="27"/>
      <c r="AB22" s="662"/>
      <c r="AC22" s="663"/>
      <c r="AD22" s="663"/>
      <c r="AE22" s="664"/>
      <c r="AF22" s="23"/>
      <c r="AG22" s="100"/>
      <c r="AH22" s="115">
        <f>IF(S23,1,0)</f>
        <v>0</v>
      </c>
      <c r="AI22" s="116"/>
      <c r="AJ22" s="599"/>
    </row>
    <row r="23" spans="2:36" ht="17.5" customHeight="1">
      <c r="B23" s="27"/>
      <c r="C23" s="724"/>
      <c r="D23" s="725"/>
      <c r="E23" s="725"/>
      <c r="F23" s="726"/>
      <c r="G23" s="23"/>
      <c r="H23" s="171"/>
      <c r="I23" s="19"/>
      <c r="J23" s="625"/>
      <c r="K23" s="716"/>
      <c r="L23" s="717"/>
      <c r="M23" s="718"/>
      <c r="N23" s="17"/>
      <c r="O23" s="695" t="s">
        <v>196</v>
      </c>
      <c r="P23" s="696"/>
      <c r="Q23" s="696"/>
      <c r="R23" s="697"/>
      <c r="S23" s="87" t="b">
        <v>0</v>
      </c>
      <c r="T23" s="22"/>
      <c r="U23" s="632"/>
      <c r="V23" s="633"/>
      <c r="W23" s="633"/>
      <c r="X23" s="634"/>
      <c r="Y23" s="23"/>
      <c r="Z23" s="171"/>
      <c r="AA23" s="27"/>
      <c r="AB23" s="665"/>
      <c r="AC23" s="666"/>
      <c r="AD23" s="666"/>
      <c r="AE23" s="667"/>
      <c r="AF23" s="23"/>
      <c r="AG23" s="120"/>
      <c r="AH23" s="115"/>
      <c r="AI23" s="116"/>
      <c r="AJ23" s="599"/>
    </row>
    <row r="24" spans="2:36" ht="18">
      <c r="B24" s="27"/>
      <c r="C24" s="724"/>
      <c r="D24" s="725"/>
      <c r="E24" s="725"/>
      <c r="F24" s="726"/>
      <c r="G24" s="23"/>
      <c r="H24" s="171"/>
      <c r="I24" s="19"/>
      <c r="J24" s="57"/>
      <c r="K24" s="226"/>
      <c r="L24" s="226"/>
      <c r="M24" s="226"/>
      <c r="N24" s="17"/>
      <c r="O24" s="40"/>
      <c r="P24" s="40"/>
      <c r="Q24" s="40"/>
      <c r="R24" s="701"/>
      <c r="S24" s="701"/>
      <c r="T24" s="22"/>
      <c r="U24" s="22"/>
      <c r="V24" s="22"/>
      <c r="W24" s="22"/>
      <c r="X24" s="22"/>
      <c r="Y24" s="23"/>
      <c r="Z24" s="171"/>
      <c r="AA24" s="27"/>
      <c r="AB24" s="22"/>
      <c r="AC24" s="22"/>
      <c r="AD24" s="22"/>
      <c r="AE24" s="22"/>
      <c r="AF24" s="23"/>
      <c r="AG24" s="100"/>
      <c r="AH24" s="115"/>
      <c r="AI24" s="116"/>
      <c r="AJ24" s="599"/>
    </row>
    <row r="25" spans="2:36" ht="15.5" customHeight="1">
      <c r="B25" s="27"/>
      <c r="C25" s="724"/>
      <c r="D25" s="725"/>
      <c r="E25" s="725"/>
      <c r="F25" s="726"/>
      <c r="G25" s="23"/>
      <c r="H25" s="171"/>
      <c r="I25" s="19"/>
      <c r="J25" s="690">
        <v>1.2</v>
      </c>
      <c r="K25" s="680" t="s">
        <v>226</v>
      </c>
      <c r="L25" s="681"/>
      <c r="M25" s="682"/>
      <c r="N25" s="17"/>
      <c r="O25" s="695" t="s">
        <v>507</v>
      </c>
      <c r="P25" s="696"/>
      <c r="Q25" s="696"/>
      <c r="R25" s="697"/>
      <c r="S25" s="44" t="b">
        <v>0</v>
      </c>
      <c r="T25" s="22"/>
      <c r="U25" s="677" t="s">
        <v>80</v>
      </c>
      <c r="V25" s="678"/>
      <c r="W25" s="678"/>
      <c r="X25" s="679"/>
      <c r="Y25" s="23"/>
      <c r="Z25" s="171"/>
      <c r="AA25" s="27"/>
      <c r="AB25" s="674" t="str">
        <f>IF(AH41,Feedback_List!B4, " ")</f>
        <v xml:space="preserve"> </v>
      </c>
      <c r="AC25" s="675"/>
      <c r="AD25" s="675"/>
      <c r="AE25" s="676"/>
      <c r="AF25" s="23"/>
      <c r="AG25" s="100"/>
      <c r="AH25" s="115">
        <f t="shared" ref="AH25:AH40" si="3">IF(S25,1,0)</f>
        <v>0</v>
      </c>
      <c r="AI25" s="116">
        <f>IF(AH25=1,0.5,0)</f>
        <v>0</v>
      </c>
      <c r="AJ25" s="599"/>
    </row>
    <row r="26" spans="2:36" ht="15.5" customHeight="1">
      <c r="B26" s="27"/>
      <c r="C26" s="724"/>
      <c r="D26" s="725"/>
      <c r="E26" s="725"/>
      <c r="F26" s="726"/>
      <c r="G26" s="23"/>
      <c r="H26" s="171"/>
      <c r="I26" s="19"/>
      <c r="J26" s="624"/>
      <c r="K26" s="617"/>
      <c r="L26" s="618"/>
      <c r="M26" s="619"/>
      <c r="N26" s="17"/>
      <c r="O26" s="695" t="s">
        <v>455</v>
      </c>
      <c r="P26" s="696"/>
      <c r="Q26" s="696"/>
      <c r="R26" s="697"/>
      <c r="S26" s="44" t="b">
        <v>0</v>
      </c>
      <c r="T26" s="22"/>
      <c r="U26" s="629"/>
      <c r="V26" s="630"/>
      <c r="W26" s="630"/>
      <c r="X26" s="631"/>
      <c r="Y26" s="23"/>
      <c r="Z26" s="171"/>
      <c r="AA26" s="27"/>
      <c r="AB26" s="662"/>
      <c r="AC26" s="663"/>
      <c r="AD26" s="663"/>
      <c r="AE26" s="664"/>
      <c r="AF26" s="23"/>
      <c r="AG26" s="100"/>
      <c r="AH26" s="115">
        <f t="shared" si="3"/>
        <v>0</v>
      </c>
      <c r="AI26" s="116">
        <f>IF(AH26=1,0.5,0)</f>
        <v>0</v>
      </c>
      <c r="AJ26" s="599"/>
    </row>
    <row r="27" spans="2:36" ht="15.5" customHeight="1">
      <c r="B27" s="27"/>
      <c r="C27" s="724"/>
      <c r="D27" s="725"/>
      <c r="E27" s="725"/>
      <c r="F27" s="726"/>
      <c r="G27" s="23"/>
      <c r="H27" s="171"/>
      <c r="I27" s="19"/>
      <c r="J27" s="624"/>
      <c r="K27" s="617"/>
      <c r="L27" s="618"/>
      <c r="M27" s="619"/>
      <c r="N27" s="17"/>
      <c r="O27" s="695" t="s">
        <v>456</v>
      </c>
      <c r="P27" s="696"/>
      <c r="Q27" s="696"/>
      <c r="R27" s="697"/>
      <c r="S27" s="44" t="b">
        <v>0</v>
      </c>
      <c r="T27" s="22"/>
      <c r="U27" s="629"/>
      <c r="V27" s="630"/>
      <c r="W27" s="630"/>
      <c r="X27" s="631"/>
      <c r="Y27" s="23"/>
      <c r="Z27" s="171"/>
      <c r="AA27" s="27"/>
      <c r="AB27" s="662"/>
      <c r="AC27" s="663"/>
      <c r="AD27" s="663"/>
      <c r="AE27" s="664"/>
      <c r="AF27" s="23"/>
      <c r="AG27" s="100"/>
      <c r="AH27" s="115">
        <f t="shared" si="3"/>
        <v>0</v>
      </c>
      <c r="AI27" s="116">
        <f t="shared" ref="AI27:AI40" si="4">IF(AH27=1,0.5,0)</f>
        <v>0</v>
      </c>
      <c r="AJ27" s="599"/>
    </row>
    <row r="28" spans="2:36" ht="15.5" customHeight="1">
      <c r="B28" s="27"/>
      <c r="C28" s="724"/>
      <c r="D28" s="725"/>
      <c r="E28" s="725"/>
      <c r="F28" s="726"/>
      <c r="G28" s="23"/>
      <c r="H28" s="171"/>
      <c r="I28" s="19"/>
      <c r="J28" s="624"/>
      <c r="K28" s="617"/>
      <c r="L28" s="618"/>
      <c r="M28" s="619"/>
      <c r="N28" s="17"/>
      <c r="O28" s="695" t="s">
        <v>186</v>
      </c>
      <c r="P28" s="696"/>
      <c r="Q28" s="696"/>
      <c r="R28" s="697"/>
      <c r="S28" s="44" t="b">
        <v>0</v>
      </c>
      <c r="T28" s="22"/>
      <c r="U28" s="629"/>
      <c r="V28" s="630"/>
      <c r="W28" s="630"/>
      <c r="X28" s="631"/>
      <c r="Y28" s="23"/>
      <c r="Z28" s="171"/>
      <c r="AA28" s="27"/>
      <c r="AB28" s="662"/>
      <c r="AC28" s="663"/>
      <c r="AD28" s="663"/>
      <c r="AE28" s="664"/>
      <c r="AF28" s="23"/>
      <c r="AG28" s="100"/>
      <c r="AH28" s="115">
        <f t="shared" si="3"/>
        <v>0</v>
      </c>
      <c r="AI28" s="116">
        <f t="shared" si="4"/>
        <v>0</v>
      </c>
      <c r="AJ28" s="599"/>
    </row>
    <row r="29" spans="2:36" ht="15.5" customHeight="1">
      <c r="B29" s="27"/>
      <c r="C29" s="724"/>
      <c r="D29" s="725"/>
      <c r="E29" s="725"/>
      <c r="F29" s="726"/>
      <c r="G29" s="23"/>
      <c r="H29" s="171"/>
      <c r="I29" s="19"/>
      <c r="J29" s="624"/>
      <c r="K29" s="617"/>
      <c r="L29" s="618"/>
      <c r="M29" s="619"/>
      <c r="N29" s="17"/>
      <c r="O29" s="695" t="s">
        <v>457</v>
      </c>
      <c r="P29" s="696"/>
      <c r="Q29" s="696"/>
      <c r="R29" s="697"/>
      <c r="S29" s="44" t="b">
        <v>0</v>
      </c>
      <c r="T29" s="22"/>
      <c r="U29" s="629"/>
      <c r="V29" s="630"/>
      <c r="W29" s="630"/>
      <c r="X29" s="631"/>
      <c r="Y29" s="23"/>
      <c r="Z29" s="171"/>
      <c r="AA29" s="27"/>
      <c r="AB29" s="662"/>
      <c r="AC29" s="663"/>
      <c r="AD29" s="663"/>
      <c r="AE29" s="664"/>
      <c r="AF29" s="23"/>
      <c r="AG29" s="100"/>
      <c r="AH29" s="115">
        <f t="shared" si="3"/>
        <v>0</v>
      </c>
      <c r="AI29" s="116">
        <f t="shared" si="4"/>
        <v>0</v>
      </c>
      <c r="AJ29" s="599"/>
    </row>
    <row r="30" spans="2:36" ht="15.5" customHeight="1">
      <c r="B30" s="27"/>
      <c r="C30" s="724"/>
      <c r="D30" s="725"/>
      <c r="E30" s="725"/>
      <c r="F30" s="726"/>
      <c r="G30" s="23"/>
      <c r="H30" s="171"/>
      <c r="I30" s="19"/>
      <c r="J30" s="624"/>
      <c r="K30" s="617"/>
      <c r="L30" s="618"/>
      <c r="M30" s="619"/>
      <c r="N30" s="17"/>
      <c r="O30" s="695" t="s">
        <v>458</v>
      </c>
      <c r="P30" s="696"/>
      <c r="Q30" s="696"/>
      <c r="R30" s="697"/>
      <c r="S30" s="44" t="b">
        <v>0</v>
      </c>
      <c r="T30" s="22"/>
      <c r="U30" s="629"/>
      <c r="V30" s="630"/>
      <c r="W30" s="630"/>
      <c r="X30" s="631"/>
      <c r="Y30" s="23"/>
      <c r="Z30" s="171"/>
      <c r="AA30" s="27"/>
      <c r="AB30" s="662"/>
      <c r="AC30" s="663"/>
      <c r="AD30" s="663"/>
      <c r="AE30" s="664"/>
      <c r="AF30" s="23"/>
      <c r="AG30" s="100"/>
      <c r="AH30" s="115">
        <f t="shared" si="3"/>
        <v>0</v>
      </c>
      <c r="AI30" s="116">
        <f t="shared" si="4"/>
        <v>0</v>
      </c>
      <c r="AJ30" s="599"/>
    </row>
    <row r="31" spans="2:36" ht="15.5" customHeight="1">
      <c r="B31" s="27"/>
      <c r="C31" s="724"/>
      <c r="D31" s="725"/>
      <c r="E31" s="725"/>
      <c r="F31" s="726"/>
      <c r="G31" s="23"/>
      <c r="H31" s="171"/>
      <c r="I31" s="19"/>
      <c r="J31" s="624"/>
      <c r="K31" s="617"/>
      <c r="L31" s="618"/>
      <c r="M31" s="619"/>
      <c r="N31" s="17"/>
      <c r="O31" s="695" t="s">
        <v>187</v>
      </c>
      <c r="P31" s="696"/>
      <c r="Q31" s="696"/>
      <c r="R31" s="697"/>
      <c r="S31" s="44" t="b">
        <v>0</v>
      </c>
      <c r="T31" s="22"/>
      <c r="U31" s="629"/>
      <c r="V31" s="630"/>
      <c r="W31" s="630"/>
      <c r="X31" s="631"/>
      <c r="Y31" s="23"/>
      <c r="Z31" s="171"/>
      <c r="AA31" s="27"/>
      <c r="AB31" s="662"/>
      <c r="AC31" s="663"/>
      <c r="AD31" s="663"/>
      <c r="AE31" s="664"/>
      <c r="AF31" s="23"/>
      <c r="AG31" s="100"/>
      <c r="AH31" s="115">
        <f t="shared" si="3"/>
        <v>0</v>
      </c>
      <c r="AI31" s="116">
        <f t="shared" si="4"/>
        <v>0</v>
      </c>
      <c r="AJ31" s="599"/>
    </row>
    <row r="32" spans="2:36" ht="15.5" customHeight="1">
      <c r="B32" s="27"/>
      <c r="C32" s="724"/>
      <c r="D32" s="725"/>
      <c r="E32" s="725"/>
      <c r="F32" s="726"/>
      <c r="G32" s="23"/>
      <c r="H32" s="171"/>
      <c r="I32" s="19"/>
      <c r="J32" s="624"/>
      <c r="K32" s="617"/>
      <c r="L32" s="618"/>
      <c r="M32" s="619"/>
      <c r="N32" s="17"/>
      <c r="O32" s="695" t="s">
        <v>188</v>
      </c>
      <c r="P32" s="696"/>
      <c r="Q32" s="696"/>
      <c r="R32" s="697"/>
      <c r="S32" s="44" t="b">
        <v>0</v>
      </c>
      <c r="T32" s="22"/>
      <c r="U32" s="629"/>
      <c r="V32" s="630"/>
      <c r="W32" s="630"/>
      <c r="X32" s="631"/>
      <c r="Y32" s="23"/>
      <c r="Z32" s="171"/>
      <c r="AA32" s="27"/>
      <c r="AB32" s="662"/>
      <c r="AC32" s="663"/>
      <c r="AD32" s="663"/>
      <c r="AE32" s="664"/>
      <c r="AF32" s="23"/>
      <c r="AG32" s="100"/>
      <c r="AH32" s="115">
        <f t="shared" si="3"/>
        <v>0</v>
      </c>
      <c r="AI32" s="116">
        <f t="shared" si="4"/>
        <v>0</v>
      </c>
      <c r="AJ32" s="599"/>
    </row>
    <row r="33" spans="2:36" ht="15.5" customHeight="1">
      <c r="B33" s="27"/>
      <c r="C33" s="724"/>
      <c r="D33" s="725"/>
      <c r="E33" s="725"/>
      <c r="F33" s="726"/>
      <c r="G33" s="23"/>
      <c r="H33" s="171"/>
      <c r="I33" s="19"/>
      <c r="J33" s="624"/>
      <c r="K33" s="617"/>
      <c r="L33" s="618"/>
      <c r="M33" s="619"/>
      <c r="N33" s="17"/>
      <c r="O33" s="695" t="s">
        <v>195</v>
      </c>
      <c r="P33" s="696"/>
      <c r="Q33" s="696"/>
      <c r="R33" s="697"/>
      <c r="S33" s="44" t="b">
        <v>0</v>
      </c>
      <c r="T33" s="22"/>
      <c r="U33" s="629"/>
      <c r="V33" s="630"/>
      <c r="W33" s="630"/>
      <c r="X33" s="631"/>
      <c r="Y33" s="23"/>
      <c r="Z33" s="171"/>
      <c r="AA33" s="27"/>
      <c r="AB33" s="662"/>
      <c r="AC33" s="663"/>
      <c r="AD33" s="663"/>
      <c r="AE33" s="664"/>
      <c r="AF33" s="23"/>
      <c r="AG33" s="100"/>
      <c r="AH33" s="115">
        <f t="shared" si="3"/>
        <v>0</v>
      </c>
      <c r="AI33" s="116">
        <f t="shared" si="4"/>
        <v>0</v>
      </c>
      <c r="AJ33" s="599"/>
    </row>
    <row r="34" spans="2:36" ht="15.5" customHeight="1">
      <c r="B34" s="27"/>
      <c r="C34" s="724"/>
      <c r="D34" s="725"/>
      <c r="E34" s="725"/>
      <c r="F34" s="726"/>
      <c r="G34" s="23"/>
      <c r="H34" s="171"/>
      <c r="I34" s="19"/>
      <c r="J34" s="624"/>
      <c r="K34" s="617"/>
      <c r="L34" s="618"/>
      <c r="M34" s="619"/>
      <c r="N34" s="17"/>
      <c r="O34" s="695" t="s">
        <v>194</v>
      </c>
      <c r="P34" s="696"/>
      <c r="Q34" s="696"/>
      <c r="R34" s="697"/>
      <c r="S34" s="44" t="b">
        <v>0</v>
      </c>
      <c r="T34" s="22"/>
      <c r="U34" s="629"/>
      <c r="V34" s="630"/>
      <c r="W34" s="630"/>
      <c r="X34" s="631"/>
      <c r="Y34" s="23"/>
      <c r="Z34" s="171"/>
      <c r="AA34" s="27"/>
      <c r="AB34" s="662"/>
      <c r="AC34" s="663"/>
      <c r="AD34" s="663"/>
      <c r="AE34" s="664"/>
      <c r="AF34" s="23"/>
      <c r="AG34" s="100"/>
      <c r="AH34" s="115">
        <f t="shared" si="3"/>
        <v>0</v>
      </c>
      <c r="AI34" s="116">
        <f t="shared" si="4"/>
        <v>0</v>
      </c>
      <c r="AJ34" s="599"/>
    </row>
    <row r="35" spans="2:36" ht="15.5" customHeight="1">
      <c r="B35" s="27"/>
      <c r="C35" s="724"/>
      <c r="D35" s="725"/>
      <c r="E35" s="725"/>
      <c r="F35" s="726"/>
      <c r="G35" s="23"/>
      <c r="H35" s="171"/>
      <c r="I35" s="19"/>
      <c r="J35" s="624"/>
      <c r="K35" s="617"/>
      <c r="L35" s="618"/>
      <c r="M35" s="619"/>
      <c r="N35" s="17"/>
      <c r="O35" s="695" t="s">
        <v>193</v>
      </c>
      <c r="P35" s="696"/>
      <c r="Q35" s="696"/>
      <c r="R35" s="697"/>
      <c r="S35" s="44" t="b">
        <v>0</v>
      </c>
      <c r="T35" s="22"/>
      <c r="U35" s="629"/>
      <c r="V35" s="630"/>
      <c r="W35" s="630"/>
      <c r="X35" s="631"/>
      <c r="Y35" s="23"/>
      <c r="Z35" s="171"/>
      <c r="AA35" s="27"/>
      <c r="AB35" s="662"/>
      <c r="AC35" s="663"/>
      <c r="AD35" s="663"/>
      <c r="AE35" s="664"/>
      <c r="AF35" s="23"/>
      <c r="AG35" s="100"/>
      <c r="AH35" s="115">
        <f t="shared" si="3"/>
        <v>0</v>
      </c>
      <c r="AI35" s="116">
        <f t="shared" si="4"/>
        <v>0</v>
      </c>
      <c r="AJ35" s="599"/>
    </row>
    <row r="36" spans="2:36" ht="15.5" customHeight="1">
      <c r="B36" s="27"/>
      <c r="C36" s="724"/>
      <c r="D36" s="725"/>
      <c r="E36" s="725"/>
      <c r="F36" s="726"/>
      <c r="G36" s="23"/>
      <c r="H36" s="171"/>
      <c r="I36" s="19"/>
      <c r="J36" s="624"/>
      <c r="K36" s="617"/>
      <c r="L36" s="618"/>
      <c r="M36" s="619"/>
      <c r="N36" s="17"/>
      <c r="O36" s="695" t="s">
        <v>192</v>
      </c>
      <c r="P36" s="696"/>
      <c r="Q36" s="696"/>
      <c r="R36" s="697"/>
      <c r="S36" s="44" t="b">
        <v>0</v>
      </c>
      <c r="T36" s="22"/>
      <c r="U36" s="629"/>
      <c r="V36" s="630"/>
      <c r="W36" s="630"/>
      <c r="X36" s="631"/>
      <c r="Y36" s="23"/>
      <c r="Z36" s="171"/>
      <c r="AA36" s="27"/>
      <c r="AB36" s="662"/>
      <c r="AC36" s="663"/>
      <c r="AD36" s="663"/>
      <c r="AE36" s="664"/>
      <c r="AF36" s="23"/>
      <c r="AG36" s="100"/>
      <c r="AH36" s="115">
        <f t="shared" si="3"/>
        <v>0</v>
      </c>
      <c r="AI36" s="116">
        <f t="shared" si="4"/>
        <v>0</v>
      </c>
      <c r="AJ36" s="599"/>
    </row>
    <row r="37" spans="2:36" ht="15.5" customHeight="1">
      <c r="B37" s="27"/>
      <c r="C37" s="724"/>
      <c r="D37" s="725"/>
      <c r="E37" s="725"/>
      <c r="F37" s="726"/>
      <c r="G37" s="23"/>
      <c r="H37" s="171"/>
      <c r="I37" s="19"/>
      <c r="J37" s="624"/>
      <c r="K37" s="617"/>
      <c r="L37" s="618"/>
      <c r="M37" s="619"/>
      <c r="N37" s="17"/>
      <c r="O37" s="695" t="s">
        <v>191</v>
      </c>
      <c r="P37" s="696"/>
      <c r="Q37" s="696"/>
      <c r="R37" s="697"/>
      <c r="S37" s="44" t="b">
        <v>0</v>
      </c>
      <c r="T37" s="22"/>
      <c r="U37" s="629"/>
      <c r="V37" s="630"/>
      <c r="W37" s="630"/>
      <c r="X37" s="631"/>
      <c r="Y37" s="23"/>
      <c r="Z37" s="171"/>
      <c r="AA37" s="27"/>
      <c r="AB37" s="662"/>
      <c r="AC37" s="663"/>
      <c r="AD37" s="663"/>
      <c r="AE37" s="664"/>
      <c r="AF37" s="23"/>
      <c r="AG37" s="100"/>
      <c r="AH37" s="115">
        <f t="shared" si="3"/>
        <v>0</v>
      </c>
      <c r="AI37" s="116">
        <f t="shared" si="4"/>
        <v>0</v>
      </c>
      <c r="AJ37" s="599"/>
    </row>
    <row r="38" spans="2:36" ht="15.5" customHeight="1">
      <c r="B38" s="27"/>
      <c r="C38" s="724"/>
      <c r="D38" s="725"/>
      <c r="E38" s="725"/>
      <c r="F38" s="726"/>
      <c r="G38" s="23"/>
      <c r="H38" s="171"/>
      <c r="I38" s="19"/>
      <c r="J38" s="624"/>
      <c r="K38" s="617"/>
      <c r="L38" s="618"/>
      <c r="M38" s="619"/>
      <c r="N38" s="17"/>
      <c r="O38" s="695" t="s">
        <v>190</v>
      </c>
      <c r="P38" s="696"/>
      <c r="Q38" s="696"/>
      <c r="R38" s="697"/>
      <c r="S38" s="44" t="b">
        <v>0</v>
      </c>
      <c r="T38" s="22"/>
      <c r="U38" s="629"/>
      <c r="V38" s="630"/>
      <c r="W38" s="630"/>
      <c r="X38" s="631"/>
      <c r="Y38" s="23"/>
      <c r="Z38" s="171"/>
      <c r="AA38" s="27"/>
      <c r="AB38" s="662"/>
      <c r="AC38" s="663"/>
      <c r="AD38" s="663"/>
      <c r="AE38" s="664"/>
      <c r="AF38" s="23"/>
      <c r="AG38" s="100"/>
      <c r="AH38" s="115">
        <f t="shared" si="3"/>
        <v>0</v>
      </c>
      <c r="AI38" s="116">
        <f t="shared" si="4"/>
        <v>0</v>
      </c>
      <c r="AJ38" s="599"/>
    </row>
    <row r="39" spans="2:36" ht="15.5" customHeight="1">
      <c r="B39" s="27"/>
      <c r="C39" s="724"/>
      <c r="D39" s="725"/>
      <c r="E39" s="725"/>
      <c r="F39" s="726"/>
      <c r="G39" s="23"/>
      <c r="H39" s="171"/>
      <c r="I39" s="19"/>
      <c r="J39" s="624"/>
      <c r="K39" s="617"/>
      <c r="L39" s="618"/>
      <c r="M39" s="619"/>
      <c r="N39" s="17"/>
      <c r="O39" s="695" t="s">
        <v>189</v>
      </c>
      <c r="P39" s="696"/>
      <c r="Q39" s="696"/>
      <c r="R39" s="697"/>
      <c r="S39" s="44" t="b">
        <v>0</v>
      </c>
      <c r="T39" s="22"/>
      <c r="U39" s="629"/>
      <c r="V39" s="630"/>
      <c r="W39" s="630"/>
      <c r="X39" s="631"/>
      <c r="Y39" s="23"/>
      <c r="Z39" s="171"/>
      <c r="AA39" s="27"/>
      <c r="AB39" s="662"/>
      <c r="AC39" s="663"/>
      <c r="AD39" s="663"/>
      <c r="AE39" s="664"/>
      <c r="AF39" s="23"/>
      <c r="AG39" s="100"/>
      <c r="AH39" s="115">
        <f t="shared" si="3"/>
        <v>0</v>
      </c>
      <c r="AI39" s="116">
        <f t="shared" si="4"/>
        <v>0</v>
      </c>
      <c r="AJ39" s="599"/>
    </row>
    <row r="40" spans="2:36" ht="15.5" customHeight="1">
      <c r="B40" s="27"/>
      <c r="C40" s="724"/>
      <c r="D40" s="725"/>
      <c r="E40" s="725"/>
      <c r="F40" s="726"/>
      <c r="G40" s="23"/>
      <c r="H40" s="171"/>
      <c r="I40" s="19"/>
      <c r="J40" s="624"/>
      <c r="K40" s="617"/>
      <c r="L40" s="618"/>
      <c r="M40" s="619"/>
      <c r="N40" s="17"/>
      <c r="O40" s="695" t="s">
        <v>608</v>
      </c>
      <c r="P40" s="696"/>
      <c r="Q40" s="696"/>
      <c r="R40" s="697"/>
      <c r="S40" s="44" t="b">
        <v>0</v>
      </c>
      <c r="T40" s="22"/>
      <c r="U40" s="629"/>
      <c r="V40" s="630"/>
      <c r="W40" s="630"/>
      <c r="X40" s="631"/>
      <c r="Y40" s="23"/>
      <c r="Z40" s="171"/>
      <c r="AA40" s="27"/>
      <c r="AB40" s="662"/>
      <c r="AC40" s="663"/>
      <c r="AD40" s="663"/>
      <c r="AE40" s="664"/>
      <c r="AF40" s="23"/>
      <c r="AG40" s="100"/>
      <c r="AH40" s="115">
        <f t="shared" si="3"/>
        <v>0</v>
      </c>
      <c r="AI40" s="116">
        <f t="shared" si="4"/>
        <v>0</v>
      </c>
      <c r="AJ40" s="599"/>
    </row>
    <row r="41" spans="2:36" ht="17.5" customHeight="1">
      <c r="B41" s="27"/>
      <c r="C41" s="724"/>
      <c r="D41" s="725"/>
      <c r="E41" s="725"/>
      <c r="F41" s="726"/>
      <c r="G41" s="23"/>
      <c r="H41" s="171"/>
      <c r="I41" s="19"/>
      <c r="J41" s="625"/>
      <c r="K41" s="620"/>
      <c r="L41" s="621"/>
      <c r="M41" s="622"/>
      <c r="N41" s="17"/>
      <c r="O41" s="695" t="s">
        <v>607</v>
      </c>
      <c r="P41" s="696"/>
      <c r="Q41" s="696"/>
      <c r="R41" s="697"/>
      <c r="S41" s="184" t="b">
        <v>0</v>
      </c>
      <c r="T41" s="22"/>
      <c r="U41" s="632"/>
      <c r="V41" s="633"/>
      <c r="W41" s="633"/>
      <c r="X41" s="634"/>
      <c r="Y41" s="23"/>
      <c r="Z41" s="171"/>
      <c r="AA41" s="27"/>
      <c r="AB41" s="665"/>
      <c r="AC41" s="666"/>
      <c r="AD41" s="666"/>
      <c r="AE41" s="667"/>
      <c r="AF41" s="23"/>
      <c r="AG41" s="100"/>
      <c r="AH41" s="115">
        <f>IF(S41,1,0)</f>
        <v>0</v>
      </c>
      <c r="AI41" s="116"/>
      <c r="AJ41" s="600"/>
    </row>
    <row r="42" spans="2:36" ht="19" thickBot="1">
      <c r="B42" s="19"/>
      <c r="C42" s="727"/>
      <c r="D42" s="728"/>
      <c r="E42" s="728"/>
      <c r="F42" s="729"/>
      <c r="G42" s="20"/>
      <c r="H42" s="169"/>
      <c r="I42" s="19"/>
      <c r="J42" s="56"/>
      <c r="K42" s="224"/>
      <c r="L42" s="224"/>
      <c r="M42" s="224"/>
      <c r="N42" s="17"/>
      <c r="O42" s="40"/>
      <c r="P42" s="40"/>
      <c r="Q42" s="40"/>
      <c r="R42" s="17"/>
      <c r="S42" s="25"/>
      <c r="T42" s="17"/>
      <c r="U42" s="17"/>
      <c r="V42" s="17"/>
      <c r="W42" s="17"/>
      <c r="X42" s="17"/>
      <c r="Y42" s="20"/>
      <c r="Z42" s="169"/>
      <c r="AA42" s="19"/>
      <c r="AB42" s="45"/>
      <c r="AC42" s="45"/>
      <c r="AD42" s="45"/>
      <c r="AE42" s="45"/>
      <c r="AF42" s="20"/>
      <c r="AG42" s="140"/>
      <c r="AH42" s="209">
        <f>SUM(AH9:AH41)</f>
        <v>0</v>
      </c>
      <c r="AI42" s="210">
        <f>SUM(AI9:AI40)</f>
        <v>0</v>
      </c>
      <c r="AJ42" s="119"/>
    </row>
    <row r="43" spans="2:36" ht="19" thickTop="1">
      <c r="B43" s="19"/>
      <c r="C43" s="45"/>
      <c r="D43" s="45"/>
      <c r="E43" s="45"/>
      <c r="F43" s="45"/>
      <c r="G43" s="20"/>
      <c r="H43" s="169"/>
      <c r="I43" s="19"/>
      <c r="J43" s="28" t="s">
        <v>26</v>
      </c>
      <c r="K43" s="225" t="s">
        <v>865</v>
      </c>
      <c r="L43" s="224"/>
      <c r="M43" s="224"/>
      <c r="N43" s="17"/>
      <c r="O43" s="40"/>
      <c r="P43" s="40"/>
      <c r="Q43" s="40"/>
      <c r="R43" s="17"/>
      <c r="S43" s="25"/>
      <c r="T43" s="17"/>
      <c r="U43" s="17"/>
      <c r="V43" s="17"/>
      <c r="W43" s="17"/>
      <c r="X43" s="17"/>
      <c r="Y43" s="20"/>
      <c r="Z43" s="169"/>
      <c r="AA43" s="19"/>
      <c r="AB43" s="45"/>
      <c r="AC43" s="45"/>
      <c r="AD43" s="45"/>
      <c r="AE43" s="45"/>
      <c r="AF43" s="20"/>
    </row>
    <row r="44" spans="2:36" ht="18">
      <c r="B44" s="19"/>
      <c r="C44" s="45"/>
      <c r="D44" s="45"/>
      <c r="E44" s="45"/>
      <c r="F44" s="45"/>
      <c r="G44" s="20"/>
      <c r="H44" s="169"/>
      <c r="I44" s="19"/>
      <c r="J44" s="56"/>
      <c r="K44" s="224"/>
      <c r="L44" s="224"/>
      <c r="M44" s="224"/>
      <c r="N44" s="17"/>
      <c r="O44" s="40"/>
      <c r="P44" s="40"/>
      <c r="Q44" s="40"/>
      <c r="R44" s="17"/>
      <c r="S44" s="25"/>
      <c r="T44" s="17"/>
      <c r="U44" s="17"/>
      <c r="V44" s="17"/>
      <c r="W44" s="17"/>
      <c r="X44" s="17"/>
      <c r="Y44" s="20"/>
      <c r="Z44" s="169"/>
      <c r="AA44" s="19"/>
      <c r="AB44" s="45"/>
      <c r="AC44" s="45"/>
      <c r="AD44" s="45"/>
      <c r="AE44" s="45"/>
      <c r="AF44" s="20"/>
    </row>
    <row r="45" spans="2:36" ht="34" customHeight="1">
      <c r="B45" s="38"/>
      <c r="C45" s="641" t="s">
        <v>82</v>
      </c>
      <c r="D45" s="642"/>
      <c r="E45" s="642"/>
      <c r="F45" s="643"/>
      <c r="G45" s="39"/>
      <c r="H45" s="172"/>
      <c r="I45" s="19"/>
      <c r="J45" s="623">
        <v>2.1</v>
      </c>
      <c r="K45" s="614" t="s">
        <v>227</v>
      </c>
      <c r="L45" s="615"/>
      <c r="M45" s="616"/>
      <c r="N45" s="22"/>
      <c r="O45" s="706" t="s">
        <v>27</v>
      </c>
      <c r="P45" s="696"/>
      <c r="Q45" s="696"/>
      <c r="R45" s="707"/>
      <c r="S45" s="46" t="b">
        <v>0</v>
      </c>
      <c r="T45" s="40"/>
      <c r="U45" s="626" t="s">
        <v>80</v>
      </c>
      <c r="V45" s="627"/>
      <c r="W45" s="627"/>
      <c r="X45" s="628"/>
      <c r="Y45" s="39"/>
      <c r="Z45" s="172"/>
      <c r="AA45" s="38"/>
      <c r="AB45" s="659" t="str">
        <f>IF(AH48,Feedback_List!B6, " ")</f>
        <v xml:space="preserve"> </v>
      </c>
      <c r="AC45" s="660"/>
      <c r="AD45" s="660"/>
      <c r="AE45" s="661"/>
      <c r="AF45" s="39"/>
      <c r="AG45" s="101"/>
      <c r="AH45" s="199">
        <f>IF(S45,1,0)</f>
        <v>0</v>
      </c>
      <c r="AI45" s="186">
        <f>IF(AH45=1,5,IF(AH46=1,5,IF(AH47=1,5,IF(AH48,0,0))))</f>
        <v>0</v>
      </c>
      <c r="AJ45" s="698">
        <f>SUM(AI45:AI92) * AO10</f>
        <v>0</v>
      </c>
    </row>
    <row r="46" spans="2:36" ht="34" customHeight="1">
      <c r="B46" s="38"/>
      <c r="C46" s="644"/>
      <c r="D46" s="645"/>
      <c r="E46" s="645"/>
      <c r="F46" s="646"/>
      <c r="G46" s="39"/>
      <c r="H46" s="172"/>
      <c r="I46" s="19"/>
      <c r="J46" s="624"/>
      <c r="K46" s="617"/>
      <c r="L46" s="618"/>
      <c r="M46" s="619"/>
      <c r="N46" s="22"/>
      <c r="O46" s="706" t="s">
        <v>28</v>
      </c>
      <c r="P46" s="696"/>
      <c r="Q46" s="696"/>
      <c r="R46" s="707"/>
      <c r="S46" s="46" t="b">
        <v>0</v>
      </c>
      <c r="T46" s="40"/>
      <c r="U46" s="629"/>
      <c r="V46" s="630"/>
      <c r="W46" s="630"/>
      <c r="X46" s="631"/>
      <c r="Y46" s="39"/>
      <c r="Z46" s="172"/>
      <c r="AA46" s="38"/>
      <c r="AB46" s="662"/>
      <c r="AC46" s="663"/>
      <c r="AD46" s="663"/>
      <c r="AE46" s="664"/>
      <c r="AF46" s="39"/>
      <c r="AG46" s="101"/>
      <c r="AH46" s="115">
        <f>IF(S46,1,0)</f>
        <v>0</v>
      </c>
      <c r="AI46" s="122"/>
      <c r="AJ46" s="699"/>
    </row>
    <row r="47" spans="2:36" ht="34" customHeight="1">
      <c r="B47" s="38"/>
      <c r="C47" s="644"/>
      <c r="D47" s="645"/>
      <c r="E47" s="645"/>
      <c r="F47" s="646"/>
      <c r="G47" s="39"/>
      <c r="H47" s="172"/>
      <c r="I47" s="19"/>
      <c r="J47" s="624"/>
      <c r="K47" s="617"/>
      <c r="L47" s="618"/>
      <c r="M47" s="619"/>
      <c r="N47" s="22"/>
      <c r="O47" s="706" t="s">
        <v>29</v>
      </c>
      <c r="P47" s="696"/>
      <c r="Q47" s="696"/>
      <c r="R47" s="707"/>
      <c r="S47" s="46" t="b">
        <v>0</v>
      </c>
      <c r="T47" s="40"/>
      <c r="U47" s="629"/>
      <c r="V47" s="630"/>
      <c r="W47" s="630"/>
      <c r="X47" s="631"/>
      <c r="Y47" s="39"/>
      <c r="Z47" s="172"/>
      <c r="AA47" s="38"/>
      <c r="AB47" s="662"/>
      <c r="AC47" s="663"/>
      <c r="AD47" s="663"/>
      <c r="AE47" s="664"/>
      <c r="AF47" s="39"/>
      <c r="AG47" s="101"/>
      <c r="AH47" s="115">
        <f>IF(S47,1,0)</f>
        <v>0</v>
      </c>
      <c r="AI47" s="122"/>
      <c r="AJ47" s="699"/>
    </row>
    <row r="48" spans="2:36" ht="34" customHeight="1">
      <c r="B48" s="38"/>
      <c r="C48" s="644"/>
      <c r="D48" s="645"/>
      <c r="E48" s="645"/>
      <c r="F48" s="646"/>
      <c r="G48" s="39"/>
      <c r="H48" s="172"/>
      <c r="I48" s="19"/>
      <c r="J48" s="625"/>
      <c r="K48" s="620"/>
      <c r="L48" s="621"/>
      <c r="M48" s="622"/>
      <c r="N48" s="22"/>
      <c r="O48" s="671" t="s">
        <v>197</v>
      </c>
      <c r="P48" s="672"/>
      <c r="Q48" s="672"/>
      <c r="R48" s="671"/>
      <c r="S48" s="46" t="b">
        <v>0</v>
      </c>
      <c r="T48" s="40"/>
      <c r="U48" s="632"/>
      <c r="V48" s="633"/>
      <c r="W48" s="633"/>
      <c r="X48" s="634"/>
      <c r="Y48" s="39"/>
      <c r="Z48" s="172"/>
      <c r="AA48" s="38"/>
      <c r="AB48" s="665"/>
      <c r="AC48" s="666"/>
      <c r="AD48" s="666"/>
      <c r="AE48" s="667"/>
      <c r="AF48" s="39"/>
      <c r="AG48" s="101"/>
      <c r="AH48" s="115">
        <f>IF(S48,1,0)</f>
        <v>0</v>
      </c>
      <c r="AI48" s="122"/>
      <c r="AJ48" s="699"/>
    </row>
    <row r="49" spans="2:37" ht="18">
      <c r="B49" s="19"/>
      <c r="C49" s="644"/>
      <c r="D49" s="645"/>
      <c r="E49" s="645"/>
      <c r="F49" s="646"/>
      <c r="G49" s="20"/>
      <c r="H49" s="169"/>
      <c r="I49" s="19"/>
      <c r="J49" s="56"/>
      <c r="K49" s="224"/>
      <c r="L49" s="224"/>
      <c r="M49" s="224"/>
      <c r="N49" s="17"/>
      <c r="O49" s="40"/>
      <c r="P49" s="40"/>
      <c r="Q49" s="40"/>
      <c r="R49" s="17"/>
      <c r="S49" s="25"/>
      <c r="T49" s="17"/>
      <c r="U49" s="17"/>
      <c r="V49" s="17"/>
      <c r="W49" s="17"/>
      <c r="X49" s="17"/>
      <c r="Y49" s="20"/>
      <c r="Z49" s="169"/>
      <c r="AA49" s="19"/>
      <c r="AB49" s="45"/>
      <c r="AC49" s="45"/>
      <c r="AD49" s="45"/>
      <c r="AE49" s="45"/>
      <c r="AF49" s="20"/>
      <c r="AH49" s="115"/>
      <c r="AI49" s="122"/>
      <c r="AJ49" s="699"/>
    </row>
    <row r="50" spans="2:37" ht="18">
      <c r="B50" s="19"/>
      <c r="C50" s="644"/>
      <c r="D50" s="645"/>
      <c r="E50" s="645"/>
      <c r="F50" s="646"/>
      <c r="G50" s="20"/>
      <c r="H50" s="169"/>
      <c r="I50" s="19"/>
      <c r="J50" s="58">
        <v>2.2000000000000002</v>
      </c>
      <c r="K50" s="702" t="s">
        <v>459</v>
      </c>
      <c r="L50" s="703"/>
      <c r="M50" s="703"/>
      <c r="N50" s="703"/>
      <c r="O50" s="703"/>
      <c r="P50" s="704"/>
      <c r="Q50" s="704"/>
      <c r="R50" s="703"/>
      <c r="S50" s="705"/>
      <c r="T50" s="17"/>
      <c r="U50" s="17"/>
      <c r="V50" s="17"/>
      <c r="W50" s="17"/>
      <c r="X50" s="17"/>
      <c r="Y50" s="20"/>
      <c r="Z50" s="169"/>
      <c r="AA50" s="19"/>
      <c r="AB50" s="45"/>
      <c r="AC50" s="45"/>
      <c r="AD50" s="45"/>
      <c r="AE50" s="45"/>
      <c r="AF50" s="20"/>
      <c r="AH50" s="115"/>
      <c r="AI50" s="122"/>
      <c r="AJ50" s="699"/>
    </row>
    <row r="51" spans="2:37" ht="18">
      <c r="B51" s="19"/>
      <c r="C51" s="644"/>
      <c r="D51" s="645"/>
      <c r="E51" s="645"/>
      <c r="F51" s="646"/>
      <c r="G51" s="20"/>
      <c r="H51" s="169"/>
      <c r="I51" s="19"/>
      <c r="J51" s="59"/>
      <c r="K51" s="227"/>
      <c r="L51" s="228"/>
      <c r="M51" s="228"/>
      <c r="N51" s="35"/>
      <c r="O51" s="284"/>
      <c r="P51" s="284"/>
      <c r="Q51" s="284"/>
      <c r="R51" s="48"/>
      <c r="S51" s="47"/>
      <c r="T51" s="17"/>
      <c r="U51" s="17"/>
      <c r="V51" s="17"/>
      <c r="W51" s="17"/>
      <c r="X51" s="17"/>
      <c r="Y51" s="20"/>
      <c r="Z51" s="169"/>
      <c r="AA51" s="19"/>
      <c r="AB51" s="45"/>
      <c r="AC51" s="45"/>
      <c r="AD51" s="45"/>
      <c r="AE51" s="45"/>
      <c r="AF51" s="20"/>
      <c r="AH51" s="115"/>
      <c r="AI51" s="116"/>
      <c r="AJ51" s="699"/>
      <c r="AK51" s="120"/>
    </row>
    <row r="52" spans="2:37" ht="15.5" customHeight="1">
      <c r="B52" s="38"/>
      <c r="C52" s="644"/>
      <c r="D52" s="645"/>
      <c r="E52" s="645"/>
      <c r="F52" s="646"/>
      <c r="G52" s="39"/>
      <c r="H52" s="172"/>
      <c r="I52" s="19"/>
      <c r="J52" s="690" t="s">
        <v>30</v>
      </c>
      <c r="K52" s="710" t="s">
        <v>228</v>
      </c>
      <c r="L52" s="711"/>
      <c r="M52" s="712"/>
      <c r="N52" s="25"/>
      <c r="O52" s="607" t="s">
        <v>31</v>
      </c>
      <c r="P52" s="608"/>
      <c r="Q52" s="608"/>
      <c r="R52" s="609"/>
      <c r="S52" s="44" t="b">
        <v>0</v>
      </c>
      <c r="T52" s="40"/>
      <c r="U52" s="677" t="s">
        <v>80</v>
      </c>
      <c r="V52" s="678"/>
      <c r="W52" s="678"/>
      <c r="X52" s="679"/>
      <c r="Y52" s="39"/>
      <c r="Z52" s="169"/>
      <c r="AA52" s="38"/>
      <c r="AB52" s="674" t="str">
        <f>IF(OR(AH54=1,AH56=1,AH60=1,AH62=1,AH66=1,AH68=1,AH72=1,AH74=1,AH78=1,AH80=1,AH84=1,AH86=1),Feedback_List!B7, " ")</f>
        <v xml:space="preserve"> </v>
      </c>
      <c r="AC52" s="675"/>
      <c r="AD52" s="675"/>
      <c r="AE52" s="676"/>
      <c r="AF52" s="39"/>
      <c r="AG52" s="102"/>
      <c r="AH52" s="115">
        <f>IF(S52,1,0)</f>
        <v>0</v>
      </c>
      <c r="AI52" s="116">
        <f>IF(AH52,5,IF(AH53,3,IF(AH54,0,IF(AH55,5,IF(AH56,0,0)))))</f>
        <v>0</v>
      </c>
      <c r="AJ52" s="699"/>
      <c r="AK52" s="120"/>
    </row>
    <row r="53" spans="2:37" ht="15.5" customHeight="1">
      <c r="B53" s="38"/>
      <c r="C53" s="644"/>
      <c r="D53" s="645"/>
      <c r="E53" s="645"/>
      <c r="F53" s="646"/>
      <c r="G53" s="39"/>
      <c r="H53" s="172"/>
      <c r="I53" s="19"/>
      <c r="J53" s="624"/>
      <c r="K53" s="713"/>
      <c r="L53" s="714"/>
      <c r="M53" s="715"/>
      <c r="N53" s="25"/>
      <c r="O53" s="668" t="s">
        <v>1062</v>
      </c>
      <c r="P53" s="608"/>
      <c r="Q53" s="608"/>
      <c r="R53" s="669"/>
      <c r="S53" s="436" t="b">
        <v>0</v>
      </c>
      <c r="T53" s="40"/>
      <c r="U53" s="629"/>
      <c r="V53" s="630"/>
      <c r="W53" s="630"/>
      <c r="X53" s="631"/>
      <c r="Y53" s="39"/>
      <c r="Z53" s="169"/>
      <c r="AA53" s="38"/>
      <c r="AB53" s="662"/>
      <c r="AC53" s="663"/>
      <c r="AD53" s="663"/>
      <c r="AE53" s="664"/>
      <c r="AF53" s="39"/>
      <c r="AG53" s="102"/>
      <c r="AH53" s="115">
        <f>IF(S53,1,0)</f>
        <v>0</v>
      </c>
      <c r="AI53" s="116"/>
      <c r="AJ53" s="699"/>
      <c r="AK53" s="120"/>
    </row>
    <row r="54" spans="2:37" ht="15.5" customHeight="1">
      <c r="B54" s="38"/>
      <c r="C54" s="644"/>
      <c r="D54" s="645"/>
      <c r="E54" s="645"/>
      <c r="F54" s="646"/>
      <c r="G54" s="39"/>
      <c r="H54" s="40"/>
      <c r="I54" s="19"/>
      <c r="J54" s="624"/>
      <c r="K54" s="713"/>
      <c r="L54" s="714"/>
      <c r="M54" s="715"/>
      <c r="N54" s="25"/>
      <c r="O54" s="607" t="s">
        <v>625</v>
      </c>
      <c r="P54" s="608"/>
      <c r="Q54" s="608"/>
      <c r="R54" s="609"/>
      <c r="S54" s="44" t="b">
        <v>0</v>
      </c>
      <c r="T54" s="40"/>
      <c r="U54" s="629"/>
      <c r="V54" s="630"/>
      <c r="W54" s="630"/>
      <c r="X54" s="631"/>
      <c r="Y54" s="39"/>
      <c r="Z54" s="169"/>
      <c r="AA54" s="38"/>
      <c r="AB54" s="662"/>
      <c r="AC54" s="663"/>
      <c r="AD54" s="663"/>
      <c r="AE54" s="664"/>
      <c r="AF54" s="39"/>
      <c r="AG54" s="102"/>
      <c r="AH54" s="115">
        <f>IF(S54,1,0)</f>
        <v>0</v>
      </c>
      <c r="AI54" s="116"/>
      <c r="AJ54" s="699"/>
      <c r="AK54" s="120"/>
    </row>
    <row r="55" spans="2:37" ht="15.5" customHeight="1">
      <c r="B55" s="38"/>
      <c r="C55" s="644"/>
      <c r="D55" s="645"/>
      <c r="E55" s="645"/>
      <c r="F55" s="646"/>
      <c r="G55" s="39"/>
      <c r="H55" s="172"/>
      <c r="I55" s="19"/>
      <c r="J55" s="624"/>
      <c r="K55" s="713"/>
      <c r="L55" s="714"/>
      <c r="M55" s="715"/>
      <c r="N55" s="25"/>
      <c r="O55" s="434" t="s">
        <v>496</v>
      </c>
      <c r="P55" s="522"/>
      <c r="Q55" s="522"/>
      <c r="R55" s="435"/>
      <c r="S55" s="44" t="b">
        <v>0</v>
      </c>
      <c r="T55" s="40"/>
      <c r="U55" s="629"/>
      <c r="V55" s="630"/>
      <c r="W55" s="630"/>
      <c r="X55" s="631"/>
      <c r="Y55" s="39"/>
      <c r="Z55" s="169"/>
      <c r="AA55" s="38"/>
      <c r="AB55" s="662"/>
      <c r="AC55" s="663"/>
      <c r="AD55" s="663"/>
      <c r="AE55" s="664"/>
      <c r="AF55" s="39"/>
      <c r="AG55" s="102"/>
      <c r="AH55" s="115">
        <f>IF(S55,1,0)</f>
        <v>0</v>
      </c>
      <c r="AI55" s="116"/>
      <c r="AJ55" s="699"/>
      <c r="AK55" s="120"/>
    </row>
    <row r="56" spans="2:37" ht="17.5" customHeight="1">
      <c r="B56" s="38"/>
      <c r="C56" s="644"/>
      <c r="D56" s="645"/>
      <c r="E56" s="645"/>
      <c r="F56" s="646"/>
      <c r="G56" s="39"/>
      <c r="H56" s="172"/>
      <c r="I56" s="19"/>
      <c r="J56" s="625"/>
      <c r="K56" s="716"/>
      <c r="L56" s="717"/>
      <c r="M56" s="718"/>
      <c r="N56" s="25"/>
      <c r="O56" s="434" t="s">
        <v>32</v>
      </c>
      <c r="P56" s="522"/>
      <c r="Q56" s="522"/>
      <c r="R56" s="435"/>
      <c r="S56" s="44" t="b">
        <v>0</v>
      </c>
      <c r="T56" s="40"/>
      <c r="U56" s="632"/>
      <c r="V56" s="633"/>
      <c r="W56" s="633"/>
      <c r="X56" s="634"/>
      <c r="Y56" s="39"/>
      <c r="Z56" s="169"/>
      <c r="AA56" s="38"/>
      <c r="AB56" s="662"/>
      <c r="AC56" s="663"/>
      <c r="AD56" s="663"/>
      <c r="AE56" s="664"/>
      <c r="AF56" s="39"/>
      <c r="AG56" s="102"/>
      <c r="AH56" s="115">
        <f>IF(S56,1,0)</f>
        <v>0</v>
      </c>
      <c r="AI56" s="116"/>
      <c r="AJ56" s="699"/>
      <c r="AK56" s="120"/>
    </row>
    <row r="57" spans="2:37" ht="18">
      <c r="B57" s="19"/>
      <c r="C57" s="644"/>
      <c r="D57" s="645"/>
      <c r="E57" s="645"/>
      <c r="F57" s="646"/>
      <c r="G57" s="20"/>
      <c r="H57" s="169"/>
      <c r="I57" s="19"/>
      <c r="J57" s="60"/>
      <c r="K57" s="229"/>
      <c r="L57" s="229"/>
      <c r="M57" s="229"/>
      <c r="N57" s="17"/>
      <c r="O57" s="62"/>
      <c r="P57" s="62"/>
      <c r="Q57" s="62"/>
      <c r="R57" s="49"/>
      <c r="S57" s="25"/>
      <c r="T57" s="17"/>
      <c r="U57" s="17"/>
      <c r="V57" s="17"/>
      <c r="W57" s="17"/>
      <c r="X57" s="17"/>
      <c r="Y57" s="20"/>
      <c r="Z57" s="169"/>
      <c r="AA57" s="19"/>
      <c r="AB57" s="662"/>
      <c r="AC57" s="663"/>
      <c r="AD57" s="663"/>
      <c r="AE57" s="664"/>
      <c r="AF57" s="20"/>
      <c r="AG57" s="140"/>
      <c r="AH57" s="123"/>
      <c r="AI57" s="122"/>
      <c r="AJ57" s="699"/>
    </row>
    <row r="58" spans="2:37" ht="15.5" customHeight="1">
      <c r="B58" s="38"/>
      <c r="C58" s="644"/>
      <c r="D58" s="645"/>
      <c r="E58" s="645"/>
      <c r="F58" s="646"/>
      <c r="G58" s="39"/>
      <c r="H58" s="172"/>
      <c r="I58" s="19"/>
      <c r="J58" s="690" t="s">
        <v>33</v>
      </c>
      <c r="K58" s="710" t="s">
        <v>229</v>
      </c>
      <c r="L58" s="711"/>
      <c r="M58" s="712"/>
      <c r="N58" s="25"/>
      <c r="O58" s="607" t="s">
        <v>31</v>
      </c>
      <c r="P58" s="608"/>
      <c r="Q58" s="608"/>
      <c r="R58" s="609"/>
      <c r="S58" s="44" t="b">
        <v>0</v>
      </c>
      <c r="T58" s="40"/>
      <c r="U58" s="677" t="s">
        <v>80</v>
      </c>
      <c r="V58" s="678"/>
      <c r="W58" s="678"/>
      <c r="X58" s="679"/>
      <c r="Y58" s="39"/>
      <c r="Z58" s="169"/>
      <c r="AA58" s="38"/>
      <c r="AB58" s="662"/>
      <c r="AC58" s="663"/>
      <c r="AD58" s="663"/>
      <c r="AE58" s="664"/>
      <c r="AF58" s="39"/>
      <c r="AG58" s="102"/>
      <c r="AH58" s="123">
        <f>IF(S58,1,0)</f>
        <v>0</v>
      </c>
      <c r="AI58" s="116">
        <f>IF(AH58,5,IF(AH59,3,IF(AH60,0,IF(AH61,5,IF(AH62,0,0)))))</f>
        <v>0</v>
      </c>
      <c r="AJ58" s="699"/>
      <c r="AK58" s="124"/>
    </row>
    <row r="59" spans="2:37" ht="15.5" customHeight="1">
      <c r="B59" s="38"/>
      <c r="C59" s="644"/>
      <c r="D59" s="645"/>
      <c r="E59" s="645"/>
      <c r="F59" s="646"/>
      <c r="G59" s="39"/>
      <c r="H59" s="172"/>
      <c r="I59" s="19"/>
      <c r="J59" s="624"/>
      <c r="K59" s="713"/>
      <c r="L59" s="714"/>
      <c r="M59" s="715"/>
      <c r="N59" s="25"/>
      <c r="O59" s="668" t="s">
        <v>1062</v>
      </c>
      <c r="P59" s="608"/>
      <c r="Q59" s="608"/>
      <c r="R59" s="669"/>
      <c r="S59" s="436" t="b">
        <v>0</v>
      </c>
      <c r="T59" s="40"/>
      <c r="U59" s="629"/>
      <c r="V59" s="630"/>
      <c r="W59" s="630"/>
      <c r="X59" s="631"/>
      <c r="Y59" s="39"/>
      <c r="Z59" s="169"/>
      <c r="AA59" s="38"/>
      <c r="AB59" s="662"/>
      <c r="AC59" s="663"/>
      <c r="AD59" s="663"/>
      <c r="AE59" s="664"/>
      <c r="AF59" s="39"/>
      <c r="AG59" s="102"/>
      <c r="AH59" s="123">
        <f t="shared" ref="AH59:AH62" si="5">IF(S59,1,0)</f>
        <v>0</v>
      </c>
      <c r="AI59" s="122"/>
      <c r="AJ59" s="699"/>
      <c r="AK59" s="124"/>
    </row>
    <row r="60" spans="2:37" ht="15.5" customHeight="1">
      <c r="B60" s="38"/>
      <c r="C60" s="644"/>
      <c r="D60" s="645"/>
      <c r="E60" s="645"/>
      <c r="F60" s="646"/>
      <c r="G60" s="39"/>
      <c r="H60" s="172"/>
      <c r="I60" s="19"/>
      <c r="J60" s="624"/>
      <c r="K60" s="713"/>
      <c r="L60" s="714"/>
      <c r="M60" s="715"/>
      <c r="N60" s="25"/>
      <c r="O60" s="607" t="s">
        <v>625</v>
      </c>
      <c r="P60" s="608"/>
      <c r="Q60" s="608"/>
      <c r="R60" s="609"/>
      <c r="S60" s="44" t="b">
        <v>0</v>
      </c>
      <c r="T60" s="40"/>
      <c r="U60" s="629"/>
      <c r="V60" s="630"/>
      <c r="W60" s="630"/>
      <c r="X60" s="631"/>
      <c r="Y60" s="39"/>
      <c r="Z60" s="169"/>
      <c r="AA60" s="38"/>
      <c r="AB60" s="662"/>
      <c r="AC60" s="663"/>
      <c r="AD60" s="663"/>
      <c r="AE60" s="664"/>
      <c r="AF60" s="39"/>
      <c r="AG60" s="102"/>
      <c r="AH60" s="123">
        <f t="shared" si="5"/>
        <v>0</v>
      </c>
      <c r="AI60" s="122"/>
      <c r="AJ60" s="699"/>
      <c r="AK60" s="124"/>
    </row>
    <row r="61" spans="2:37" ht="15.5" customHeight="1">
      <c r="B61" s="38"/>
      <c r="C61" s="644"/>
      <c r="D61" s="645"/>
      <c r="E61" s="645"/>
      <c r="F61" s="646"/>
      <c r="G61" s="39"/>
      <c r="H61" s="172"/>
      <c r="I61" s="19"/>
      <c r="J61" s="624"/>
      <c r="K61" s="713"/>
      <c r="L61" s="714"/>
      <c r="M61" s="715"/>
      <c r="N61" s="25"/>
      <c r="O61" s="434" t="s">
        <v>496</v>
      </c>
      <c r="P61" s="522"/>
      <c r="Q61" s="522"/>
      <c r="R61" s="435"/>
      <c r="S61" s="44" t="b">
        <v>0</v>
      </c>
      <c r="T61" s="40"/>
      <c r="U61" s="629"/>
      <c r="V61" s="630"/>
      <c r="W61" s="630"/>
      <c r="X61" s="631"/>
      <c r="Y61" s="39"/>
      <c r="Z61" s="169"/>
      <c r="AA61" s="38"/>
      <c r="AB61" s="662"/>
      <c r="AC61" s="663"/>
      <c r="AD61" s="663"/>
      <c r="AE61" s="664"/>
      <c r="AF61" s="39"/>
      <c r="AG61" s="102"/>
      <c r="AH61" s="123">
        <f t="shared" si="5"/>
        <v>0</v>
      </c>
      <c r="AI61" s="122"/>
      <c r="AJ61" s="699"/>
      <c r="AK61" s="124"/>
    </row>
    <row r="62" spans="2:37" ht="17.5" customHeight="1">
      <c r="B62" s="38"/>
      <c r="C62" s="644"/>
      <c r="D62" s="645"/>
      <c r="E62" s="645"/>
      <c r="F62" s="646"/>
      <c r="G62" s="39"/>
      <c r="H62" s="172"/>
      <c r="I62" s="19"/>
      <c r="J62" s="625"/>
      <c r="K62" s="716"/>
      <c r="L62" s="717"/>
      <c r="M62" s="718"/>
      <c r="N62" s="25"/>
      <c r="O62" s="434" t="s">
        <v>32</v>
      </c>
      <c r="P62" s="522"/>
      <c r="Q62" s="522"/>
      <c r="R62" s="435"/>
      <c r="S62" s="44" t="b">
        <v>0</v>
      </c>
      <c r="T62" s="40"/>
      <c r="U62" s="632"/>
      <c r="V62" s="633"/>
      <c r="W62" s="633"/>
      <c r="X62" s="634"/>
      <c r="Y62" s="39"/>
      <c r="Z62" s="169"/>
      <c r="AA62" s="38"/>
      <c r="AB62" s="662"/>
      <c r="AC62" s="663"/>
      <c r="AD62" s="663"/>
      <c r="AE62" s="664"/>
      <c r="AF62" s="39"/>
      <c r="AG62" s="102"/>
      <c r="AH62" s="123">
        <f t="shared" si="5"/>
        <v>0</v>
      </c>
      <c r="AI62" s="122"/>
      <c r="AJ62" s="699"/>
      <c r="AK62" s="124"/>
    </row>
    <row r="63" spans="2:37" ht="18">
      <c r="B63" s="19"/>
      <c r="C63" s="644"/>
      <c r="D63" s="645"/>
      <c r="E63" s="645"/>
      <c r="F63" s="646"/>
      <c r="G63" s="20"/>
      <c r="H63" s="169"/>
      <c r="I63" s="19"/>
      <c r="J63" s="60"/>
      <c r="K63" s="229"/>
      <c r="L63" s="229"/>
      <c r="M63" s="229"/>
      <c r="N63" s="17"/>
      <c r="O63" s="40"/>
      <c r="P63" s="40"/>
      <c r="Q63" s="40"/>
      <c r="R63" s="45"/>
      <c r="S63" s="25"/>
      <c r="T63" s="17"/>
      <c r="U63" s="17"/>
      <c r="V63" s="17"/>
      <c r="W63" s="17"/>
      <c r="X63" s="17"/>
      <c r="Y63" s="20"/>
      <c r="Z63" s="169"/>
      <c r="AA63" s="19"/>
      <c r="AB63" s="662"/>
      <c r="AC63" s="663"/>
      <c r="AD63" s="663"/>
      <c r="AE63" s="664"/>
      <c r="AF63" s="20"/>
      <c r="AG63" s="140"/>
      <c r="AH63" s="123"/>
      <c r="AI63" s="122"/>
      <c r="AJ63" s="699"/>
    </row>
    <row r="64" spans="2:37" ht="15.5" customHeight="1">
      <c r="B64" s="38"/>
      <c r="C64" s="644"/>
      <c r="D64" s="645"/>
      <c r="E64" s="645"/>
      <c r="F64" s="646"/>
      <c r="G64" s="39"/>
      <c r="H64" s="172"/>
      <c r="I64" s="19"/>
      <c r="J64" s="690" t="s">
        <v>34</v>
      </c>
      <c r="K64" s="710" t="s">
        <v>230</v>
      </c>
      <c r="L64" s="711"/>
      <c r="M64" s="712"/>
      <c r="N64" s="25"/>
      <c r="O64" s="607" t="s">
        <v>31</v>
      </c>
      <c r="P64" s="608"/>
      <c r="Q64" s="608"/>
      <c r="R64" s="609"/>
      <c r="S64" s="44" t="b">
        <v>0</v>
      </c>
      <c r="T64" s="40"/>
      <c r="U64" s="677" t="s">
        <v>80</v>
      </c>
      <c r="V64" s="678"/>
      <c r="W64" s="678"/>
      <c r="X64" s="679"/>
      <c r="Y64" s="39"/>
      <c r="Z64" s="172"/>
      <c r="AA64" s="38"/>
      <c r="AB64" s="662"/>
      <c r="AC64" s="663"/>
      <c r="AD64" s="663"/>
      <c r="AE64" s="664"/>
      <c r="AF64" s="39"/>
      <c r="AG64" s="102"/>
      <c r="AH64" s="123">
        <f>IF(S64,1,0)</f>
        <v>0</v>
      </c>
      <c r="AI64" s="116">
        <f>IF(AH64,5,IF(AH65,3,IF(AH66,0,IF(AH67,5,IF(AH68,0,0)))))</f>
        <v>0</v>
      </c>
      <c r="AJ64" s="699"/>
      <c r="AK64" s="124"/>
    </row>
    <row r="65" spans="2:37" ht="15.5" customHeight="1">
      <c r="B65" s="38"/>
      <c r="C65" s="644"/>
      <c r="D65" s="645"/>
      <c r="E65" s="645"/>
      <c r="F65" s="646"/>
      <c r="G65" s="39"/>
      <c r="H65" s="172"/>
      <c r="I65" s="19"/>
      <c r="J65" s="624"/>
      <c r="K65" s="713"/>
      <c r="L65" s="714"/>
      <c r="M65" s="715"/>
      <c r="N65" s="25"/>
      <c r="O65" s="668" t="s">
        <v>1062</v>
      </c>
      <c r="P65" s="608"/>
      <c r="Q65" s="608"/>
      <c r="R65" s="669"/>
      <c r="S65" s="436" t="b">
        <v>0</v>
      </c>
      <c r="T65" s="40"/>
      <c r="U65" s="629"/>
      <c r="V65" s="630"/>
      <c r="W65" s="630"/>
      <c r="X65" s="631"/>
      <c r="Y65" s="39"/>
      <c r="Z65" s="172"/>
      <c r="AA65" s="38"/>
      <c r="AB65" s="662"/>
      <c r="AC65" s="663"/>
      <c r="AD65" s="663"/>
      <c r="AE65" s="664"/>
      <c r="AF65" s="39"/>
      <c r="AG65" s="102"/>
      <c r="AH65" s="123">
        <f t="shared" ref="AH65:AH68" si="6">IF(S65,1,0)</f>
        <v>0</v>
      </c>
      <c r="AI65" s="122"/>
      <c r="AJ65" s="699"/>
      <c r="AK65" s="124"/>
    </row>
    <row r="66" spans="2:37" ht="15.5" customHeight="1">
      <c r="B66" s="38"/>
      <c r="C66" s="644"/>
      <c r="D66" s="645"/>
      <c r="E66" s="645"/>
      <c r="F66" s="646"/>
      <c r="G66" s="39"/>
      <c r="H66" s="172"/>
      <c r="I66" s="19"/>
      <c r="J66" s="624"/>
      <c r="K66" s="713"/>
      <c r="L66" s="714"/>
      <c r="M66" s="715"/>
      <c r="N66" s="25"/>
      <c r="O66" s="607" t="s">
        <v>625</v>
      </c>
      <c r="P66" s="608"/>
      <c r="Q66" s="608"/>
      <c r="R66" s="609"/>
      <c r="S66" s="44" t="b">
        <v>0</v>
      </c>
      <c r="T66" s="40"/>
      <c r="U66" s="629"/>
      <c r="V66" s="630"/>
      <c r="W66" s="630"/>
      <c r="X66" s="631"/>
      <c r="Y66" s="39"/>
      <c r="Z66" s="172"/>
      <c r="AA66" s="38"/>
      <c r="AB66" s="662"/>
      <c r="AC66" s="663"/>
      <c r="AD66" s="663"/>
      <c r="AE66" s="664"/>
      <c r="AF66" s="39"/>
      <c r="AG66" s="102"/>
      <c r="AH66" s="123">
        <f t="shared" si="6"/>
        <v>0</v>
      </c>
      <c r="AI66" s="122"/>
      <c r="AJ66" s="699"/>
      <c r="AK66" s="124"/>
    </row>
    <row r="67" spans="2:37" ht="15.5" customHeight="1">
      <c r="B67" s="38"/>
      <c r="C67" s="644"/>
      <c r="D67" s="645"/>
      <c r="E67" s="645"/>
      <c r="F67" s="646"/>
      <c r="G67" s="39"/>
      <c r="H67" s="172"/>
      <c r="I67" s="19"/>
      <c r="J67" s="624"/>
      <c r="K67" s="713"/>
      <c r="L67" s="714"/>
      <c r="M67" s="715"/>
      <c r="N67" s="25"/>
      <c r="O67" s="434" t="s">
        <v>496</v>
      </c>
      <c r="P67" s="522"/>
      <c r="Q67" s="522"/>
      <c r="R67" s="435"/>
      <c r="S67" s="44" t="b">
        <v>0</v>
      </c>
      <c r="T67" s="40"/>
      <c r="U67" s="629"/>
      <c r="V67" s="630"/>
      <c r="W67" s="630"/>
      <c r="X67" s="631"/>
      <c r="Y67" s="39"/>
      <c r="Z67" s="172"/>
      <c r="AA67" s="38"/>
      <c r="AB67" s="662"/>
      <c r="AC67" s="663"/>
      <c r="AD67" s="663"/>
      <c r="AE67" s="664"/>
      <c r="AF67" s="39"/>
      <c r="AG67" s="102"/>
      <c r="AH67" s="123">
        <f t="shared" si="6"/>
        <v>0</v>
      </c>
      <c r="AI67" s="122"/>
      <c r="AJ67" s="699"/>
      <c r="AK67" s="124"/>
    </row>
    <row r="68" spans="2:37" ht="17.5" customHeight="1">
      <c r="B68" s="38"/>
      <c r="C68" s="644"/>
      <c r="D68" s="645"/>
      <c r="E68" s="645"/>
      <c r="F68" s="646"/>
      <c r="G68" s="39"/>
      <c r="H68" s="172"/>
      <c r="I68" s="19"/>
      <c r="J68" s="625"/>
      <c r="K68" s="716"/>
      <c r="L68" s="717"/>
      <c r="M68" s="718"/>
      <c r="N68" s="25"/>
      <c r="O68" s="434" t="s">
        <v>32</v>
      </c>
      <c r="P68" s="522"/>
      <c r="Q68" s="522"/>
      <c r="R68" s="435"/>
      <c r="S68" s="44" t="b">
        <v>0</v>
      </c>
      <c r="T68" s="40"/>
      <c r="U68" s="632"/>
      <c r="V68" s="633"/>
      <c r="W68" s="633"/>
      <c r="X68" s="634"/>
      <c r="Y68" s="39"/>
      <c r="Z68" s="172"/>
      <c r="AA68" s="38"/>
      <c r="AB68" s="662"/>
      <c r="AC68" s="663"/>
      <c r="AD68" s="663"/>
      <c r="AE68" s="664"/>
      <c r="AF68" s="39"/>
      <c r="AG68" s="102"/>
      <c r="AH68" s="123">
        <f t="shared" si="6"/>
        <v>0</v>
      </c>
      <c r="AI68" s="122"/>
      <c r="AJ68" s="699"/>
      <c r="AK68" s="124"/>
    </row>
    <row r="69" spans="2:37" ht="18">
      <c r="B69" s="19"/>
      <c r="C69" s="644"/>
      <c r="D69" s="645"/>
      <c r="E69" s="645"/>
      <c r="F69" s="646"/>
      <c r="G69" s="20"/>
      <c r="H69" s="169"/>
      <c r="I69" s="19"/>
      <c r="J69" s="60"/>
      <c r="K69" s="229"/>
      <c r="L69" s="229"/>
      <c r="M69" s="229"/>
      <c r="N69" s="17"/>
      <c r="O69" s="40"/>
      <c r="P69" s="40"/>
      <c r="Q69" s="40"/>
      <c r="R69" s="45"/>
      <c r="S69" s="25"/>
      <c r="T69" s="17"/>
      <c r="U69" s="50"/>
      <c r="V69" s="50"/>
      <c r="W69" s="50"/>
      <c r="X69" s="50"/>
      <c r="Y69" s="20"/>
      <c r="Z69" s="169"/>
      <c r="AA69" s="19"/>
      <c r="AB69" s="662"/>
      <c r="AC69" s="663"/>
      <c r="AD69" s="663"/>
      <c r="AE69" s="664"/>
      <c r="AF69" s="20"/>
      <c r="AG69" s="140"/>
      <c r="AH69" s="123"/>
      <c r="AI69" s="122"/>
      <c r="AJ69" s="699"/>
    </row>
    <row r="70" spans="2:37" ht="15.5" customHeight="1">
      <c r="B70" s="38"/>
      <c r="C70" s="644"/>
      <c r="D70" s="645"/>
      <c r="E70" s="645"/>
      <c r="F70" s="646"/>
      <c r="G70" s="39"/>
      <c r="H70" s="172"/>
      <c r="I70" s="19"/>
      <c r="J70" s="690" t="s">
        <v>35</v>
      </c>
      <c r="K70" s="710" t="s">
        <v>231</v>
      </c>
      <c r="L70" s="711"/>
      <c r="M70" s="712"/>
      <c r="N70" s="25"/>
      <c r="O70" s="607" t="s">
        <v>31</v>
      </c>
      <c r="P70" s="608"/>
      <c r="Q70" s="608"/>
      <c r="R70" s="609"/>
      <c r="S70" s="44" t="b">
        <v>0</v>
      </c>
      <c r="T70" s="40"/>
      <c r="U70" s="677" t="s">
        <v>80</v>
      </c>
      <c r="V70" s="678"/>
      <c r="W70" s="678"/>
      <c r="X70" s="679"/>
      <c r="Y70" s="39"/>
      <c r="Z70" s="172"/>
      <c r="AA70" s="38"/>
      <c r="AB70" s="662"/>
      <c r="AC70" s="663"/>
      <c r="AD70" s="663"/>
      <c r="AE70" s="664"/>
      <c r="AF70" s="39"/>
      <c r="AG70" s="102"/>
      <c r="AH70" s="123">
        <f>IF(S70,1,0)</f>
        <v>0</v>
      </c>
      <c r="AI70" s="116">
        <f>IF(AH70,5,IF(AH71,3,IF(AH72,0,IF(AH73,5,IF(AH74,0,0)))))</f>
        <v>0</v>
      </c>
      <c r="AJ70" s="699"/>
      <c r="AK70" s="124"/>
    </row>
    <row r="71" spans="2:37" ht="15.5" customHeight="1">
      <c r="B71" s="38"/>
      <c r="C71" s="644"/>
      <c r="D71" s="645"/>
      <c r="E71" s="645"/>
      <c r="F71" s="646"/>
      <c r="G71" s="39"/>
      <c r="H71" s="172"/>
      <c r="I71" s="19"/>
      <c r="J71" s="624"/>
      <c r="K71" s="713"/>
      <c r="L71" s="714"/>
      <c r="M71" s="715"/>
      <c r="N71" s="25"/>
      <c r="O71" s="668" t="s">
        <v>1062</v>
      </c>
      <c r="P71" s="608"/>
      <c r="Q71" s="608"/>
      <c r="R71" s="669"/>
      <c r="S71" s="436" t="b">
        <v>0</v>
      </c>
      <c r="T71" s="40"/>
      <c r="U71" s="629"/>
      <c r="V71" s="630"/>
      <c r="W71" s="630"/>
      <c r="X71" s="631"/>
      <c r="Y71" s="39"/>
      <c r="Z71" s="172"/>
      <c r="AA71" s="38"/>
      <c r="AB71" s="662"/>
      <c r="AC71" s="663"/>
      <c r="AD71" s="663"/>
      <c r="AE71" s="664"/>
      <c r="AF71" s="39"/>
      <c r="AG71" s="102"/>
      <c r="AH71" s="123">
        <f t="shared" ref="AH71:AH73" si="7">IF(S71,1,0)</f>
        <v>0</v>
      </c>
      <c r="AI71" s="122"/>
      <c r="AJ71" s="699"/>
      <c r="AK71" s="124"/>
    </row>
    <row r="72" spans="2:37" ht="15.5" customHeight="1">
      <c r="B72" s="38"/>
      <c r="C72" s="644"/>
      <c r="D72" s="645"/>
      <c r="E72" s="645"/>
      <c r="F72" s="646"/>
      <c r="G72" s="39"/>
      <c r="H72" s="172"/>
      <c r="I72" s="19"/>
      <c r="J72" s="624"/>
      <c r="K72" s="713"/>
      <c r="L72" s="714"/>
      <c r="M72" s="715"/>
      <c r="N72" s="25"/>
      <c r="O72" s="607" t="s">
        <v>625</v>
      </c>
      <c r="P72" s="608"/>
      <c r="Q72" s="608"/>
      <c r="R72" s="609"/>
      <c r="S72" s="44" t="b">
        <v>0</v>
      </c>
      <c r="T72" s="40"/>
      <c r="U72" s="629"/>
      <c r="V72" s="630"/>
      <c r="W72" s="630"/>
      <c r="X72" s="631"/>
      <c r="Y72" s="39"/>
      <c r="Z72" s="172"/>
      <c r="AA72" s="38"/>
      <c r="AB72" s="662"/>
      <c r="AC72" s="663"/>
      <c r="AD72" s="663"/>
      <c r="AE72" s="664"/>
      <c r="AF72" s="39"/>
      <c r="AG72" s="102"/>
      <c r="AH72" s="123">
        <f t="shared" si="7"/>
        <v>0</v>
      </c>
      <c r="AI72" s="122"/>
      <c r="AJ72" s="699"/>
      <c r="AK72" s="124"/>
    </row>
    <row r="73" spans="2:37" ht="15.5" customHeight="1">
      <c r="B73" s="38"/>
      <c r="C73" s="644"/>
      <c r="D73" s="645"/>
      <c r="E73" s="645"/>
      <c r="F73" s="646"/>
      <c r="G73" s="39"/>
      <c r="H73" s="172"/>
      <c r="I73" s="19"/>
      <c r="J73" s="624"/>
      <c r="K73" s="713"/>
      <c r="L73" s="714"/>
      <c r="M73" s="715"/>
      <c r="N73" s="25"/>
      <c r="O73" s="434" t="s">
        <v>496</v>
      </c>
      <c r="P73" s="522"/>
      <c r="Q73" s="522"/>
      <c r="R73" s="435"/>
      <c r="S73" s="44" t="b">
        <v>0</v>
      </c>
      <c r="T73" s="40"/>
      <c r="U73" s="629"/>
      <c r="V73" s="630"/>
      <c r="W73" s="630"/>
      <c r="X73" s="631"/>
      <c r="Y73" s="39"/>
      <c r="Z73" s="172"/>
      <c r="AA73" s="38"/>
      <c r="AB73" s="662"/>
      <c r="AC73" s="663"/>
      <c r="AD73" s="663"/>
      <c r="AE73" s="664"/>
      <c r="AF73" s="39"/>
      <c r="AG73" s="102"/>
      <c r="AH73" s="123">
        <f t="shared" si="7"/>
        <v>0</v>
      </c>
      <c r="AI73" s="122"/>
      <c r="AJ73" s="699"/>
      <c r="AK73" s="124"/>
    </row>
    <row r="74" spans="2:37" ht="17.5" customHeight="1">
      <c r="B74" s="38"/>
      <c r="C74" s="644"/>
      <c r="D74" s="645"/>
      <c r="E74" s="645"/>
      <c r="F74" s="646"/>
      <c r="G74" s="39"/>
      <c r="H74" s="172"/>
      <c r="I74" s="19"/>
      <c r="J74" s="625"/>
      <c r="K74" s="716"/>
      <c r="L74" s="717"/>
      <c r="M74" s="718"/>
      <c r="N74" s="25"/>
      <c r="O74" s="434" t="s">
        <v>32</v>
      </c>
      <c r="P74" s="522"/>
      <c r="Q74" s="522"/>
      <c r="R74" s="435"/>
      <c r="S74" s="44" t="b">
        <v>0</v>
      </c>
      <c r="T74" s="40"/>
      <c r="U74" s="632"/>
      <c r="V74" s="633"/>
      <c r="W74" s="633"/>
      <c r="X74" s="634"/>
      <c r="Y74" s="39"/>
      <c r="Z74" s="172"/>
      <c r="AA74" s="38"/>
      <c r="AB74" s="662"/>
      <c r="AC74" s="663"/>
      <c r="AD74" s="663"/>
      <c r="AE74" s="664"/>
      <c r="AF74" s="39"/>
      <c r="AG74" s="102"/>
      <c r="AH74" s="123">
        <f>IF(S74,1,0)</f>
        <v>0</v>
      </c>
      <c r="AI74" s="122"/>
      <c r="AJ74" s="699"/>
      <c r="AK74" s="124"/>
    </row>
    <row r="75" spans="2:37" ht="18">
      <c r="B75" s="19"/>
      <c r="C75" s="644"/>
      <c r="D75" s="645"/>
      <c r="E75" s="645"/>
      <c r="F75" s="646"/>
      <c r="G75" s="20"/>
      <c r="H75" s="169"/>
      <c r="I75" s="19"/>
      <c r="J75" s="60"/>
      <c r="K75" s="229"/>
      <c r="L75" s="229"/>
      <c r="M75" s="229"/>
      <c r="N75" s="17"/>
      <c r="O75" s="40"/>
      <c r="P75" s="40"/>
      <c r="Q75" s="40"/>
      <c r="R75" s="45"/>
      <c r="S75" s="25"/>
      <c r="T75" s="17"/>
      <c r="U75" s="50"/>
      <c r="V75" s="50"/>
      <c r="W75" s="50"/>
      <c r="X75" s="50"/>
      <c r="Y75" s="20"/>
      <c r="Z75" s="169"/>
      <c r="AA75" s="19"/>
      <c r="AB75" s="662"/>
      <c r="AC75" s="663"/>
      <c r="AD75" s="663"/>
      <c r="AE75" s="664"/>
      <c r="AF75" s="20"/>
      <c r="AG75" s="140"/>
      <c r="AH75" s="123"/>
      <c r="AI75" s="122"/>
      <c r="AJ75" s="699"/>
    </row>
    <row r="76" spans="2:37" ht="15.5" customHeight="1">
      <c r="B76" s="38"/>
      <c r="C76" s="644"/>
      <c r="D76" s="645"/>
      <c r="E76" s="645"/>
      <c r="F76" s="646"/>
      <c r="G76" s="39"/>
      <c r="H76" s="172"/>
      <c r="I76" s="19"/>
      <c r="J76" s="690" t="s">
        <v>36</v>
      </c>
      <c r="K76" s="710" t="s">
        <v>232</v>
      </c>
      <c r="L76" s="711"/>
      <c r="M76" s="712"/>
      <c r="N76" s="25"/>
      <c r="O76" s="607" t="s">
        <v>31</v>
      </c>
      <c r="P76" s="608"/>
      <c r="Q76" s="608"/>
      <c r="R76" s="609"/>
      <c r="S76" s="44" t="b">
        <v>0</v>
      </c>
      <c r="T76" s="40"/>
      <c r="U76" s="677" t="s">
        <v>80</v>
      </c>
      <c r="V76" s="678"/>
      <c r="W76" s="678"/>
      <c r="X76" s="679"/>
      <c r="Y76" s="39"/>
      <c r="Z76" s="172"/>
      <c r="AA76" s="38"/>
      <c r="AB76" s="662"/>
      <c r="AC76" s="663"/>
      <c r="AD76" s="663"/>
      <c r="AE76" s="664"/>
      <c r="AF76" s="39"/>
      <c r="AG76" s="102"/>
      <c r="AH76" s="123">
        <f>IF(S76,1,0)</f>
        <v>0</v>
      </c>
      <c r="AI76" s="116">
        <f>IF(AH76,5,IF(AH77,3,IF(AH78,0,IF(AH79,5,IF(AH80,0,0)))))</f>
        <v>0</v>
      </c>
      <c r="AJ76" s="699"/>
      <c r="AK76" s="124"/>
    </row>
    <row r="77" spans="2:37" ht="15.5" customHeight="1">
      <c r="B77" s="38"/>
      <c r="C77" s="644"/>
      <c r="D77" s="645"/>
      <c r="E77" s="645"/>
      <c r="F77" s="646"/>
      <c r="G77" s="39"/>
      <c r="H77" s="172"/>
      <c r="I77" s="19"/>
      <c r="J77" s="624"/>
      <c r="K77" s="713"/>
      <c r="L77" s="714"/>
      <c r="M77" s="715"/>
      <c r="N77" s="25"/>
      <c r="O77" s="668" t="s">
        <v>1062</v>
      </c>
      <c r="P77" s="608"/>
      <c r="Q77" s="608"/>
      <c r="R77" s="669"/>
      <c r="S77" s="436" t="b">
        <v>0</v>
      </c>
      <c r="T77" s="40"/>
      <c r="U77" s="629"/>
      <c r="V77" s="630"/>
      <c r="W77" s="630"/>
      <c r="X77" s="631"/>
      <c r="Y77" s="39"/>
      <c r="Z77" s="172"/>
      <c r="AA77" s="38"/>
      <c r="AB77" s="662"/>
      <c r="AC77" s="663"/>
      <c r="AD77" s="663"/>
      <c r="AE77" s="664"/>
      <c r="AF77" s="39"/>
      <c r="AG77" s="102"/>
      <c r="AH77" s="123">
        <f t="shared" ref="AH77:AH79" si="8">IF(S77,1,0)</f>
        <v>0</v>
      </c>
      <c r="AI77" s="122"/>
      <c r="AJ77" s="699"/>
      <c r="AK77" s="124"/>
    </row>
    <row r="78" spans="2:37" ht="15.5" customHeight="1">
      <c r="B78" s="38"/>
      <c r="C78" s="644"/>
      <c r="D78" s="645"/>
      <c r="E78" s="645"/>
      <c r="F78" s="646"/>
      <c r="G78" s="39"/>
      <c r="H78" s="172"/>
      <c r="I78" s="19"/>
      <c r="J78" s="624"/>
      <c r="K78" s="713"/>
      <c r="L78" s="714"/>
      <c r="M78" s="715"/>
      <c r="N78" s="25"/>
      <c r="O78" s="607" t="s">
        <v>625</v>
      </c>
      <c r="P78" s="608"/>
      <c r="Q78" s="608"/>
      <c r="R78" s="609"/>
      <c r="S78" s="44" t="b">
        <v>0</v>
      </c>
      <c r="T78" s="40"/>
      <c r="U78" s="629"/>
      <c r="V78" s="630"/>
      <c r="W78" s="630"/>
      <c r="X78" s="631"/>
      <c r="Y78" s="39"/>
      <c r="Z78" s="172"/>
      <c r="AA78" s="38"/>
      <c r="AB78" s="662"/>
      <c r="AC78" s="663"/>
      <c r="AD78" s="663"/>
      <c r="AE78" s="664"/>
      <c r="AF78" s="39"/>
      <c r="AG78" s="102"/>
      <c r="AH78" s="123">
        <f t="shared" si="8"/>
        <v>0</v>
      </c>
      <c r="AI78" s="122"/>
      <c r="AJ78" s="699"/>
      <c r="AK78" s="124"/>
    </row>
    <row r="79" spans="2:37" ht="15.5" customHeight="1">
      <c r="B79" s="38"/>
      <c r="C79" s="644"/>
      <c r="D79" s="645"/>
      <c r="E79" s="645"/>
      <c r="F79" s="646"/>
      <c r="G79" s="39"/>
      <c r="H79" s="172"/>
      <c r="I79" s="19"/>
      <c r="J79" s="624"/>
      <c r="K79" s="713"/>
      <c r="L79" s="714"/>
      <c r="M79" s="715"/>
      <c r="N79" s="25"/>
      <c r="O79" s="434" t="s">
        <v>496</v>
      </c>
      <c r="P79" s="522"/>
      <c r="Q79" s="522"/>
      <c r="R79" s="435"/>
      <c r="S79" s="44" t="b">
        <v>0</v>
      </c>
      <c r="T79" s="40"/>
      <c r="U79" s="629"/>
      <c r="V79" s="630"/>
      <c r="W79" s="630"/>
      <c r="X79" s="631"/>
      <c r="Y79" s="39"/>
      <c r="Z79" s="172"/>
      <c r="AA79" s="38"/>
      <c r="AB79" s="662"/>
      <c r="AC79" s="663"/>
      <c r="AD79" s="663"/>
      <c r="AE79" s="664"/>
      <c r="AF79" s="39"/>
      <c r="AG79" s="102"/>
      <c r="AH79" s="123">
        <f t="shared" si="8"/>
        <v>0</v>
      </c>
      <c r="AI79" s="122"/>
      <c r="AJ79" s="699"/>
      <c r="AK79" s="124"/>
    </row>
    <row r="80" spans="2:37" ht="17.5" customHeight="1">
      <c r="B80" s="38"/>
      <c r="C80" s="644"/>
      <c r="D80" s="645"/>
      <c r="E80" s="645"/>
      <c r="F80" s="646"/>
      <c r="G80" s="39"/>
      <c r="H80" s="172"/>
      <c r="I80" s="19"/>
      <c r="J80" s="625"/>
      <c r="K80" s="716"/>
      <c r="L80" s="717"/>
      <c r="M80" s="718"/>
      <c r="N80" s="25"/>
      <c r="O80" s="434" t="s">
        <v>32</v>
      </c>
      <c r="P80" s="522"/>
      <c r="Q80" s="522"/>
      <c r="R80" s="435"/>
      <c r="S80" s="44" t="b">
        <v>0</v>
      </c>
      <c r="T80" s="40"/>
      <c r="U80" s="632"/>
      <c r="V80" s="633"/>
      <c r="W80" s="633"/>
      <c r="X80" s="634"/>
      <c r="Y80" s="39"/>
      <c r="Z80" s="172"/>
      <c r="AA80" s="38"/>
      <c r="AB80" s="662"/>
      <c r="AC80" s="663"/>
      <c r="AD80" s="663"/>
      <c r="AE80" s="664"/>
      <c r="AF80" s="39"/>
      <c r="AG80" s="102"/>
      <c r="AH80" s="123">
        <f>IF(S80,1,0)</f>
        <v>0</v>
      </c>
      <c r="AI80" s="122"/>
      <c r="AJ80" s="699"/>
      <c r="AK80" s="124"/>
    </row>
    <row r="81" spans="2:37" ht="18">
      <c r="B81" s="19"/>
      <c r="C81" s="644"/>
      <c r="D81" s="645"/>
      <c r="E81" s="645"/>
      <c r="F81" s="646"/>
      <c r="G81" s="20"/>
      <c r="H81" s="169"/>
      <c r="I81" s="19"/>
      <c r="J81" s="60"/>
      <c r="K81" s="229"/>
      <c r="L81" s="229"/>
      <c r="M81" s="229"/>
      <c r="N81" s="17"/>
      <c r="O81" s="40"/>
      <c r="P81" s="40"/>
      <c r="Q81" s="40"/>
      <c r="R81" s="45"/>
      <c r="S81" s="25"/>
      <c r="T81" s="17"/>
      <c r="U81" s="50"/>
      <c r="V81" s="50"/>
      <c r="W81" s="50"/>
      <c r="X81" s="50"/>
      <c r="Y81" s="20"/>
      <c r="Z81" s="169"/>
      <c r="AA81" s="19"/>
      <c r="AB81" s="662"/>
      <c r="AC81" s="663"/>
      <c r="AD81" s="663"/>
      <c r="AE81" s="664"/>
      <c r="AF81" s="20"/>
      <c r="AG81" s="140"/>
      <c r="AH81" s="123"/>
      <c r="AI81" s="122"/>
      <c r="AJ81" s="699"/>
    </row>
    <row r="82" spans="2:37" ht="15.5" customHeight="1">
      <c r="B82" s="38"/>
      <c r="C82" s="644"/>
      <c r="D82" s="645"/>
      <c r="E82" s="645"/>
      <c r="F82" s="646"/>
      <c r="G82" s="39"/>
      <c r="H82" s="172"/>
      <c r="I82" s="19"/>
      <c r="J82" s="690" t="s">
        <v>37</v>
      </c>
      <c r="K82" s="710" t="s">
        <v>233</v>
      </c>
      <c r="L82" s="711"/>
      <c r="M82" s="712"/>
      <c r="N82" s="25"/>
      <c r="O82" s="607" t="s">
        <v>31</v>
      </c>
      <c r="P82" s="608"/>
      <c r="Q82" s="608"/>
      <c r="R82" s="609"/>
      <c r="S82" s="44" t="b">
        <v>0</v>
      </c>
      <c r="T82" s="40"/>
      <c r="U82" s="677" t="s">
        <v>80</v>
      </c>
      <c r="V82" s="678"/>
      <c r="W82" s="678"/>
      <c r="X82" s="679"/>
      <c r="Y82" s="39"/>
      <c r="Z82" s="172"/>
      <c r="AA82" s="38"/>
      <c r="AB82" s="662"/>
      <c r="AC82" s="663"/>
      <c r="AD82" s="663"/>
      <c r="AE82" s="664"/>
      <c r="AF82" s="39"/>
      <c r="AG82" s="102"/>
      <c r="AH82" s="123">
        <f>IF(S82,1,0)</f>
        <v>0</v>
      </c>
      <c r="AI82" s="116">
        <f>IF(AH82,5,IF(AH83,3,IF(AH84,0,IF(AH85,5,IF(AH86,0,0)))))</f>
        <v>0</v>
      </c>
      <c r="AJ82" s="699"/>
      <c r="AK82" s="124"/>
    </row>
    <row r="83" spans="2:37" ht="15.5" customHeight="1">
      <c r="B83" s="38"/>
      <c r="C83" s="644"/>
      <c r="D83" s="645"/>
      <c r="E83" s="645"/>
      <c r="F83" s="646"/>
      <c r="G83" s="39"/>
      <c r="H83" s="172"/>
      <c r="I83" s="19"/>
      <c r="J83" s="624"/>
      <c r="K83" s="713"/>
      <c r="L83" s="714"/>
      <c r="M83" s="715"/>
      <c r="N83" s="25"/>
      <c r="O83" s="668" t="s">
        <v>1062</v>
      </c>
      <c r="P83" s="608"/>
      <c r="Q83" s="608"/>
      <c r="R83" s="669"/>
      <c r="S83" s="436" t="b">
        <v>0</v>
      </c>
      <c r="T83" s="40"/>
      <c r="U83" s="629"/>
      <c r="V83" s="630"/>
      <c r="W83" s="630"/>
      <c r="X83" s="631"/>
      <c r="Y83" s="39"/>
      <c r="Z83" s="172"/>
      <c r="AA83" s="38"/>
      <c r="AB83" s="662"/>
      <c r="AC83" s="663"/>
      <c r="AD83" s="663"/>
      <c r="AE83" s="664"/>
      <c r="AF83" s="39"/>
      <c r="AG83" s="102"/>
      <c r="AH83" s="123">
        <f t="shared" ref="AH83:AH86" si="9">IF(S83,1,0)</f>
        <v>0</v>
      </c>
      <c r="AI83" s="122"/>
      <c r="AJ83" s="699"/>
      <c r="AK83" s="124"/>
    </row>
    <row r="84" spans="2:37" ht="15.5" customHeight="1">
      <c r="B84" s="38"/>
      <c r="C84" s="644"/>
      <c r="D84" s="645"/>
      <c r="E84" s="645"/>
      <c r="F84" s="646"/>
      <c r="G84" s="39"/>
      <c r="H84" s="172"/>
      <c r="I84" s="19"/>
      <c r="J84" s="624"/>
      <c r="K84" s="713"/>
      <c r="L84" s="714"/>
      <c r="M84" s="715"/>
      <c r="N84" s="25"/>
      <c r="O84" s="607" t="s">
        <v>625</v>
      </c>
      <c r="P84" s="608"/>
      <c r="Q84" s="608"/>
      <c r="R84" s="609"/>
      <c r="S84" s="44" t="b">
        <v>0</v>
      </c>
      <c r="T84" s="40"/>
      <c r="U84" s="629"/>
      <c r="V84" s="630"/>
      <c r="W84" s="630"/>
      <c r="X84" s="631"/>
      <c r="Y84" s="39"/>
      <c r="Z84" s="172"/>
      <c r="AA84" s="38"/>
      <c r="AB84" s="662"/>
      <c r="AC84" s="663"/>
      <c r="AD84" s="663"/>
      <c r="AE84" s="664"/>
      <c r="AF84" s="39"/>
      <c r="AG84" s="102"/>
      <c r="AH84" s="123">
        <f t="shared" si="9"/>
        <v>0</v>
      </c>
      <c r="AI84" s="122"/>
      <c r="AJ84" s="699"/>
      <c r="AK84" s="124"/>
    </row>
    <row r="85" spans="2:37" ht="15.5" customHeight="1">
      <c r="B85" s="38"/>
      <c r="C85" s="644"/>
      <c r="D85" s="645"/>
      <c r="E85" s="645"/>
      <c r="F85" s="646"/>
      <c r="G85" s="39"/>
      <c r="H85" s="172"/>
      <c r="I85" s="19"/>
      <c r="J85" s="624"/>
      <c r="K85" s="713"/>
      <c r="L85" s="714"/>
      <c r="M85" s="715"/>
      <c r="N85" s="25"/>
      <c r="O85" s="434" t="s">
        <v>496</v>
      </c>
      <c r="P85" s="522"/>
      <c r="Q85" s="522"/>
      <c r="R85" s="435"/>
      <c r="S85" s="44" t="b">
        <v>0</v>
      </c>
      <c r="T85" s="40"/>
      <c r="U85" s="629"/>
      <c r="V85" s="630"/>
      <c r="W85" s="630"/>
      <c r="X85" s="631"/>
      <c r="Y85" s="39"/>
      <c r="Z85" s="172"/>
      <c r="AA85" s="38"/>
      <c r="AB85" s="662"/>
      <c r="AC85" s="663"/>
      <c r="AD85" s="663"/>
      <c r="AE85" s="664"/>
      <c r="AF85" s="39"/>
      <c r="AG85" s="102"/>
      <c r="AH85" s="123">
        <f t="shared" si="9"/>
        <v>0</v>
      </c>
      <c r="AI85" s="122"/>
      <c r="AJ85" s="699"/>
      <c r="AK85" s="124"/>
    </row>
    <row r="86" spans="2:37" ht="17.5" customHeight="1">
      <c r="B86" s="38"/>
      <c r="C86" s="644"/>
      <c r="D86" s="645"/>
      <c r="E86" s="645"/>
      <c r="F86" s="646"/>
      <c r="G86" s="39"/>
      <c r="H86" s="172"/>
      <c r="I86" s="19"/>
      <c r="J86" s="625"/>
      <c r="K86" s="716"/>
      <c r="L86" s="717"/>
      <c r="M86" s="718"/>
      <c r="N86" s="25"/>
      <c r="O86" s="434" t="s">
        <v>32</v>
      </c>
      <c r="P86" s="522"/>
      <c r="Q86" s="522"/>
      <c r="R86" s="435"/>
      <c r="S86" s="44" t="b">
        <v>0</v>
      </c>
      <c r="T86" s="40"/>
      <c r="U86" s="632"/>
      <c r="V86" s="633"/>
      <c r="W86" s="633"/>
      <c r="X86" s="634"/>
      <c r="Y86" s="39"/>
      <c r="Z86" s="172"/>
      <c r="AA86" s="38"/>
      <c r="AB86" s="665"/>
      <c r="AC86" s="666"/>
      <c r="AD86" s="666"/>
      <c r="AE86" s="667"/>
      <c r="AF86" s="39"/>
      <c r="AG86" s="102"/>
      <c r="AH86" s="123">
        <f t="shared" si="9"/>
        <v>0</v>
      </c>
      <c r="AI86" s="122"/>
      <c r="AJ86" s="699"/>
      <c r="AK86" s="124"/>
    </row>
    <row r="87" spans="2:37" ht="18">
      <c r="B87" s="38"/>
      <c r="C87" s="644"/>
      <c r="D87" s="645"/>
      <c r="E87" s="645"/>
      <c r="F87" s="646"/>
      <c r="G87" s="39"/>
      <c r="H87" s="172"/>
      <c r="I87" s="19"/>
      <c r="J87" s="57"/>
      <c r="K87" s="226"/>
      <c r="L87" s="226"/>
      <c r="M87" s="226"/>
      <c r="N87" s="25"/>
      <c r="O87" s="62"/>
      <c r="P87" s="62"/>
      <c r="Q87" s="62"/>
      <c r="R87" s="51"/>
      <c r="S87" s="25"/>
      <c r="T87" s="40"/>
      <c r="U87" s="30"/>
      <c r="V87" s="30"/>
      <c r="W87" s="30"/>
      <c r="X87" s="30"/>
      <c r="Y87" s="39"/>
      <c r="Z87" s="172"/>
      <c r="AA87" s="38"/>
      <c r="AB87" s="22"/>
      <c r="AC87" s="22"/>
      <c r="AD87" s="22"/>
      <c r="AE87" s="22"/>
      <c r="AF87" s="39"/>
      <c r="AG87" s="101"/>
      <c r="AH87" s="123"/>
      <c r="AI87" s="122"/>
      <c r="AJ87" s="699"/>
      <c r="AK87" s="124"/>
    </row>
    <row r="88" spans="2:37" ht="21" customHeight="1">
      <c r="B88" s="27"/>
      <c r="C88" s="644"/>
      <c r="D88" s="645"/>
      <c r="E88" s="645"/>
      <c r="F88" s="646"/>
      <c r="G88" s="23"/>
      <c r="H88" s="171"/>
      <c r="I88" s="19"/>
      <c r="J88" s="623">
        <v>2.2999999999999998</v>
      </c>
      <c r="K88" s="614" t="s">
        <v>234</v>
      </c>
      <c r="L88" s="615"/>
      <c r="M88" s="616"/>
      <c r="N88" s="22"/>
      <c r="O88" s="695" t="s">
        <v>497</v>
      </c>
      <c r="P88" s="696"/>
      <c r="Q88" s="696"/>
      <c r="R88" s="697"/>
      <c r="S88" s="46" t="b">
        <v>0</v>
      </c>
      <c r="T88" s="22"/>
      <c r="U88" s="613" t="s">
        <v>80</v>
      </c>
      <c r="V88" s="613"/>
      <c r="W88" s="613"/>
      <c r="X88" s="613"/>
      <c r="Y88" s="23"/>
      <c r="Z88" s="171"/>
      <c r="AA88" s="27"/>
      <c r="AB88" s="674" t="str">
        <f>IF(AH92,Feedback_List!B8,IF(AH91,Feedback_List!C8,IF(AH90,Feedback_List!C8,IF(AH89,Feedback_List!C8," "))))</f>
        <v xml:space="preserve"> </v>
      </c>
      <c r="AC88" s="675"/>
      <c r="AD88" s="675"/>
      <c r="AE88" s="676"/>
      <c r="AF88" s="23"/>
      <c r="AG88" s="100"/>
      <c r="AH88" s="123">
        <f>IF(S88,1,0)</f>
        <v>0</v>
      </c>
      <c r="AI88" s="122">
        <f>IF(AH88,7,IF(AH89,5,IF(AH90,3,IF(AH91,2,IF(AH92,0,0)))))</f>
        <v>0</v>
      </c>
      <c r="AJ88" s="699"/>
    </row>
    <row r="89" spans="2:37" ht="21" customHeight="1">
      <c r="B89" s="27"/>
      <c r="C89" s="644"/>
      <c r="D89" s="645"/>
      <c r="E89" s="645"/>
      <c r="F89" s="646"/>
      <c r="G89" s="23"/>
      <c r="H89" s="171"/>
      <c r="I89" s="19"/>
      <c r="J89" s="624"/>
      <c r="K89" s="617"/>
      <c r="L89" s="618"/>
      <c r="M89" s="619"/>
      <c r="N89" s="22"/>
      <c r="O89" s="548" t="s">
        <v>498</v>
      </c>
      <c r="P89" s="549"/>
      <c r="Q89" s="549"/>
      <c r="R89" s="550"/>
      <c r="S89" s="46" t="b">
        <v>0</v>
      </c>
      <c r="T89" s="22"/>
      <c r="U89" s="613"/>
      <c r="V89" s="613"/>
      <c r="W89" s="613"/>
      <c r="X89" s="613"/>
      <c r="Y89" s="23"/>
      <c r="Z89" s="171"/>
      <c r="AA89" s="27"/>
      <c r="AB89" s="662"/>
      <c r="AC89" s="663"/>
      <c r="AD89" s="663"/>
      <c r="AE89" s="664"/>
      <c r="AF89" s="23"/>
      <c r="AG89" s="100"/>
      <c r="AH89" s="123">
        <f t="shared" ref="AH89:AH92" si="10">IF(S89,1,0)</f>
        <v>0</v>
      </c>
      <c r="AI89" s="116"/>
      <c r="AJ89" s="699"/>
    </row>
    <row r="90" spans="2:37" ht="21" customHeight="1">
      <c r="B90" s="27"/>
      <c r="C90" s="644"/>
      <c r="D90" s="645"/>
      <c r="E90" s="645"/>
      <c r="F90" s="646"/>
      <c r="G90" s="23"/>
      <c r="H90" s="171"/>
      <c r="I90" s="19"/>
      <c r="J90" s="624"/>
      <c r="K90" s="617"/>
      <c r="L90" s="618"/>
      <c r="M90" s="619"/>
      <c r="N90" s="22"/>
      <c r="O90" s="548" t="s">
        <v>499</v>
      </c>
      <c r="P90" s="549"/>
      <c r="Q90" s="549"/>
      <c r="R90" s="550"/>
      <c r="S90" s="46" t="b">
        <v>0</v>
      </c>
      <c r="T90" s="22"/>
      <c r="U90" s="613"/>
      <c r="V90" s="613"/>
      <c r="W90" s="613"/>
      <c r="X90" s="613"/>
      <c r="Y90" s="23"/>
      <c r="Z90" s="171"/>
      <c r="AA90" s="27"/>
      <c r="AB90" s="662"/>
      <c r="AC90" s="663"/>
      <c r="AD90" s="663"/>
      <c r="AE90" s="664"/>
      <c r="AF90" s="23"/>
      <c r="AG90" s="100"/>
      <c r="AH90" s="123">
        <f t="shared" si="10"/>
        <v>0</v>
      </c>
      <c r="AI90" s="116"/>
      <c r="AJ90" s="699"/>
    </row>
    <row r="91" spans="2:37" ht="21" customHeight="1">
      <c r="B91" s="27"/>
      <c r="C91" s="644"/>
      <c r="D91" s="645"/>
      <c r="E91" s="645"/>
      <c r="F91" s="646"/>
      <c r="G91" s="23"/>
      <c r="H91" s="171"/>
      <c r="I91" s="19"/>
      <c r="J91" s="624"/>
      <c r="K91" s="617"/>
      <c r="L91" s="618"/>
      <c r="M91" s="619"/>
      <c r="N91" s="22"/>
      <c r="O91" s="548" t="s">
        <v>38</v>
      </c>
      <c r="P91" s="549"/>
      <c r="Q91" s="549"/>
      <c r="R91" s="550"/>
      <c r="S91" s="46" t="b">
        <v>0</v>
      </c>
      <c r="T91" s="22"/>
      <c r="U91" s="613"/>
      <c r="V91" s="613"/>
      <c r="W91" s="613"/>
      <c r="X91" s="613"/>
      <c r="Y91" s="23"/>
      <c r="Z91" s="171"/>
      <c r="AA91" s="27"/>
      <c r="AB91" s="662"/>
      <c r="AC91" s="663"/>
      <c r="AD91" s="663"/>
      <c r="AE91" s="664"/>
      <c r="AF91" s="23"/>
      <c r="AG91" s="100"/>
      <c r="AH91" s="123">
        <f t="shared" si="10"/>
        <v>0</v>
      </c>
      <c r="AI91" s="116"/>
      <c r="AJ91" s="699"/>
    </row>
    <row r="92" spans="2:37" ht="21" customHeight="1">
      <c r="B92" s="27"/>
      <c r="C92" s="647"/>
      <c r="D92" s="648"/>
      <c r="E92" s="648"/>
      <c r="F92" s="649"/>
      <c r="G92" s="23"/>
      <c r="H92" s="171"/>
      <c r="I92" s="19"/>
      <c r="J92" s="625"/>
      <c r="K92" s="620"/>
      <c r="L92" s="621"/>
      <c r="M92" s="622"/>
      <c r="N92" s="22"/>
      <c r="O92" s="548" t="s">
        <v>198</v>
      </c>
      <c r="P92" s="549"/>
      <c r="Q92" s="549"/>
      <c r="R92" s="550"/>
      <c r="S92" s="46" t="b">
        <v>0</v>
      </c>
      <c r="T92" s="22"/>
      <c r="U92" s="613"/>
      <c r="V92" s="613"/>
      <c r="W92" s="613"/>
      <c r="X92" s="613"/>
      <c r="Y92" s="23"/>
      <c r="Z92" s="171"/>
      <c r="AA92" s="27"/>
      <c r="AB92" s="662"/>
      <c r="AC92" s="663"/>
      <c r="AD92" s="663"/>
      <c r="AE92" s="664"/>
      <c r="AF92" s="23"/>
      <c r="AG92" s="100"/>
      <c r="AH92" s="123">
        <f t="shared" si="10"/>
        <v>0</v>
      </c>
      <c r="AI92" s="125"/>
      <c r="AJ92" s="700"/>
    </row>
    <row r="93" spans="2:37" ht="19" thickBot="1">
      <c r="B93" s="27"/>
      <c r="C93" s="22"/>
      <c r="D93" s="22"/>
      <c r="E93" s="22"/>
      <c r="F93" s="22"/>
      <c r="G93" s="23"/>
      <c r="H93" s="171"/>
      <c r="I93" s="19"/>
      <c r="J93" s="57"/>
      <c r="K93" s="180"/>
      <c r="L93" s="180"/>
      <c r="M93" s="180"/>
      <c r="N93" s="22"/>
      <c r="O93" s="22"/>
      <c r="P93" s="22"/>
      <c r="Q93" s="22"/>
      <c r="R93" s="22"/>
      <c r="S93" s="24"/>
      <c r="T93" s="22"/>
      <c r="U93" s="26"/>
      <c r="V93" s="26"/>
      <c r="W93" s="26"/>
      <c r="X93" s="26"/>
      <c r="Y93" s="23"/>
      <c r="Z93" s="171"/>
      <c r="AA93" s="27"/>
      <c r="AB93" s="665"/>
      <c r="AC93" s="666"/>
      <c r="AD93" s="666"/>
      <c r="AE93" s="667"/>
      <c r="AF93" s="23"/>
      <c r="AG93" s="100"/>
      <c r="AH93" s="126">
        <f>SUM(AH45:AH92)</f>
        <v>0</v>
      </c>
      <c r="AI93" s="126">
        <f>SUM(AI45:AI92)</f>
        <v>0</v>
      </c>
      <c r="AJ93" s="126"/>
    </row>
    <row r="94" spans="2:37" ht="19" thickTop="1">
      <c r="B94" s="19"/>
      <c r="C94" s="45"/>
      <c r="D94" s="45"/>
      <c r="E94" s="45"/>
      <c r="F94" s="45"/>
      <c r="G94" s="20"/>
      <c r="H94" s="169"/>
      <c r="I94" s="19"/>
      <c r="J94" s="28" t="s">
        <v>39</v>
      </c>
      <c r="K94" s="225" t="s">
        <v>866</v>
      </c>
      <c r="L94" s="224"/>
      <c r="M94" s="224"/>
      <c r="N94" s="17"/>
      <c r="O94" s="40"/>
      <c r="P94" s="40"/>
      <c r="Q94" s="40"/>
      <c r="R94" s="17"/>
      <c r="S94" s="25"/>
      <c r="T94" s="17"/>
      <c r="U94" s="50"/>
      <c r="V94" s="50"/>
      <c r="W94" s="50"/>
      <c r="X94" s="50"/>
      <c r="Y94" s="20"/>
      <c r="Z94" s="169"/>
      <c r="AA94" s="19"/>
      <c r="AB94" s="45"/>
      <c r="AC94" s="45"/>
      <c r="AD94" s="45"/>
      <c r="AE94" s="45"/>
      <c r="AF94" s="20"/>
    </row>
    <row r="95" spans="2:37" ht="18">
      <c r="B95" s="19"/>
      <c r="C95" s="45"/>
      <c r="D95" s="45"/>
      <c r="E95" s="45"/>
      <c r="F95" s="45"/>
      <c r="G95" s="20"/>
      <c r="H95" s="169"/>
      <c r="I95" s="19"/>
      <c r="J95" s="56"/>
      <c r="K95" s="224"/>
      <c r="L95" s="224"/>
      <c r="M95" s="224"/>
      <c r="N95" s="17"/>
      <c r="O95" s="40"/>
      <c r="P95" s="40"/>
      <c r="Q95" s="40"/>
      <c r="R95" s="17"/>
      <c r="S95" s="25"/>
      <c r="T95" s="17"/>
      <c r="U95" s="50"/>
      <c r="V95" s="50"/>
      <c r="W95" s="50"/>
      <c r="X95" s="50"/>
      <c r="Y95" s="20"/>
      <c r="Z95" s="169"/>
      <c r="AA95" s="19"/>
      <c r="AB95" s="45"/>
      <c r="AC95" s="45"/>
      <c r="AD95" s="45"/>
      <c r="AE95" s="45"/>
      <c r="AF95" s="20"/>
    </row>
    <row r="96" spans="2:37" ht="15.5" customHeight="1">
      <c r="B96" s="27"/>
      <c r="C96" s="650" t="s">
        <v>849</v>
      </c>
      <c r="D96" s="651"/>
      <c r="E96" s="651"/>
      <c r="F96" s="652"/>
      <c r="G96" s="23"/>
      <c r="H96" s="171"/>
      <c r="I96" s="19"/>
      <c r="J96" s="673">
        <v>3.1</v>
      </c>
      <c r="K96" s="612" t="s">
        <v>437</v>
      </c>
      <c r="L96" s="612"/>
      <c r="M96" s="612"/>
      <c r="N96" s="52"/>
      <c r="O96" s="610" t="s">
        <v>199</v>
      </c>
      <c r="P96" s="611"/>
      <c r="Q96" s="611"/>
      <c r="R96" s="610"/>
      <c r="S96" s="46" t="b">
        <v>0</v>
      </c>
      <c r="T96" s="22"/>
      <c r="U96" s="613" t="s">
        <v>80</v>
      </c>
      <c r="V96" s="613"/>
      <c r="W96" s="613"/>
      <c r="X96" s="613"/>
      <c r="Y96" s="23"/>
      <c r="Z96" s="171"/>
      <c r="AA96" s="27"/>
      <c r="AB96" s="674" t="str">
        <f>IF(OR(AH100=1,AH99=1,AH109=1,AH110=1,AH114=1,AH115=1), Feedback_List!B10, " ")</f>
        <v xml:space="preserve"> </v>
      </c>
      <c r="AC96" s="675"/>
      <c r="AD96" s="675"/>
      <c r="AE96" s="676"/>
      <c r="AF96" s="23"/>
      <c r="AG96" s="100"/>
      <c r="AH96" s="112">
        <f>IF(S96,1,0)</f>
        <v>0</v>
      </c>
      <c r="AI96" s="113">
        <f>IF(AH96,7,IF(AH97,5,IF(AH98,3,IF(AH99,2,IF(AH100,0,0)))))</f>
        <v>0</v>
      </c>
      <c r="AJ96" s="598">
        <f>SUM(AI96:AI120) * AO11</f>
        <v>0</v>
      </c>
    </row>
    <row r="97" spans="2:36" ht="16">
      <c r="B97" s="27"/>
      <c r="C97" s="653"/>
      <c r="D97" s="654"/>
      <c r="E97" s="654"/>
      <c r="F97" s="655"/>
      <c r="G97" s="23"/>
      <c r="H97" s="171"/>
      <c r="I97" s="19"/>
      <c r="J97" s="673"/>
      <c r="K97" s="612"/>
      <c r="L97" s="612"/>
      <c r="M97" s="612"/>
      <c r="N97" s="52"/>
      <c r="O97" s="610" t="s">
        <v>201</v>
      </c>
      <c r="P97" s="611"/>
      <c r="Q97" s="611"/>
      <c r="R97" s="610"/>
      <c r="S97" s="46" t="b">
        <v>0</v>
      </c>
      <c r="T97" s="22"/>
      <c r="U97" s="613"/>
      <c r="V97" s="613"/>
      <c r="W97" s="613"/>
      <c r="X97" s="613"/>
      <c r="Y97" s="23"/>
      <c r="Z97" s="171"/>
      <c r="AA97" s="27"/>
      <c r="AB97" s="662"/>
      <c r="AC97" s="663"/>
      <c r="AD97" s="663"/>
      <c r="AE97" s="664"/>
      <c r="AF97" s="23"/>
      <c r="AG97" s="100"/>
      <c r="AH97" s="115">
        <f>IF(S97,1,0)</f>
        <v>0</v>
      </c>
      <c r="AI97" s="116"/>
      <c r="AJ97" s="599"/>
    </row>
    <row r="98" spans="2:36" ht="16">
      <c r="B98" s="27"/>
      <c r="C98" s="653"/>
      <c r="D98" s="654"/>
      <c r="E98" s="654"/>
      <c r="F98" s="655"/>
      <c r="G98" s="23"/>
      <c r="H98" s="171"/>
      <c r="I98" s="19"/>
      <c r="J98" s="673"/>
      <c r="K98" s="612"/>
      <c r="L98" s="612"/>
      <c r="M98" s="612"/>
      <c r="N98" s="52"/>
      <c r="O98" s="610" t="s">
        <v>202</v>
      </c>
      <c r="P98" s="611"/>
      <c r="Q98" s="611"/>
      <c r="R98" s="610"/>
      <c r="S98" s="46" t="b">
        <v>0</v>
      </c>
      <c r="T98" s="22"/>
      <c r="U98" s="613"/>
      <c r="V98" s="613"/>
      <c r="W98" s="613"/>
      <c r="X98" s="613"/>
      <c r="Y98" s="23"/>
      <c r="Z98" s="171"/>
      <c r="AA98" s="27"/>
      <c r="AB98" s="662"/>
      <c r="AC98" s="663"/>
      <c r="AD98" s="663"/>
      <c r="AE98" s="664"/>
      <c r="AF98" s="23"/>
      <c r="AG98" s="100"/>
      <c r="AH98" s="115">
        <f>IF(S98,1,0)</f>
        <v>0</v>
      </c>
      <c r="AI98" s="116"/>
      <c r="AJ98" s="599"/>
    </row>
    <row r="99" spans="2:36" ht="16">
      <c r="B99" s="27"/>
      <c r="C99" s="653"/>
      <c r="D99" s="654"/>
      <c r="E99" s="654"/>
      <c r="F99" s="655"/>
      <c r="G99" s="23"/>
      <c r="H99" s="171"/>
      <c r="I99" s="19"/>
      <c r="J99" s="673"/>
      <c r="K99" s="612"/>
      <c r="L99" s="612"/>
      <c r="M99" s="612"/>
      <c r="N99" s="52"/>
      <c r="O99" s="610" t="s">
        <v>203</v>
      </c>
      <c r="P99" s="611"/>
      <c r="Q99" s="611"/>
      <c r="R99" s="610"/>
      <c r="S99" s="46" t="b">
        <v>0</v>
      </c>
      <c r="T99" s="22"/>
      <c r="U99" s="613"/>
      <c r="V99" s="613"/>
      <c r="W99" s="613"/>
      <c r="X99" s="613"/>
      <c r="Y99" s="23"/>
      <c r="Z99" s="171"/>
      <c r="AA99" s="27"/>
      <c r="AB99" s="662"/>
      <c r="AC99" s="663"/>
      <c r="AD99" s="663"/>
      <c r="AE99" s="664"/>
      <c r="AF99" s="23"/>
      <c r="AG99" s="100"/>
      <c r="AH99" s="115">
        <f>IF(S99,1,0)</f>
        <v>0</v>
      </c>
      <c r="AI99" s="116"/>
      <c r="AJ99" s="599"/>
    </row>
    <row r="100" spans="2:36" ht="16">
      <c r="B100" s="27"/>
      <c r="C100" s="653"/>
      <c r="D100" s="654"/>
      <c r="E100" s="654"/>
      <c r="F100" s="655"/>
      <c r="G100" s="23"/>
      <c r="H100" s="171"/>
      <c r="I100" s="19"/>
      <c r="J100" s="673"/>
      <c r="K100" s="612"/>
      <c r="L100" s="612"/>
      <c r="M100" s="612"/>
      <c r="N100" s="52"/>
      <c r="O100" s="610" t="s">
        <v>200</v>
      </c>
      <c r="P100" s="611"/>
      <c r="Q100" s="611"/>
      <c r="R100" s="610"/>
      <c r="S100" s="46" t="b">
        <v>0</v>
      </c>
      <c r="T100" s="22"/>
      <c r="U100" s="613"/>
      <c r="V100" s="613"/>
      <c r="W100" s="613"/>
      <c r="X100" s="613"/>
      <c r="Y100" s="23"/>
      <c r="Z100" s="171"/>
      <c r="AA100" s="27"/>
      <c r="AB100" s="662"/>
      <c r="AC100" s="663"/>
      <c r="AD100" s="663"/>
      <c r="AE100" s="664"/>
      <c r="AF100" s="23"/>
      <c r="AG100" s="100"/>
      <c r="AH100" s="115">
        <f>IF(S100,1,0)</f>
        <v>0</v>
      </c>
      <c r="AI100" s="122"/>
      <c r="AJ100" s="599"/>
    </row>
    <row r="101" spans="2:36" ht="18">
      <c r="B101" s="27"/>
      <c r="C101" s="653"/>
      <c r="D101" s="654"/>
      <c r="E101" s="654"/>
      <c r="F101" s="655"/>
      <c r="G101" s="23"/>
      <c r="H101" s="171"/>
      <c r="I101" s="19"/>
      <c r="J101" s="57"/>
      <c r="K101" s="226"/>
      <c r="L101" s="226"/>
      <c r="M101" s="226"/>
      <c r="N101" s="22"/>
      <c r="O101" s="22"/>
      <c r="P101" s="22"/>
      <c r="Q101" s="22"/>
      <c r="R101" s="22"/>
      <c r="S101" s="24"/>
      <c r="T101" s="22"/>
      <c r="U101" s="30"/>
      <c r="V101" s="30"/>
      <c r="W101" s="30"/>
      <c r="X101" s="30"/>
      <c r="Y101" s="23"/>
      <c r="Z101" s="171"/>
      <c r="AA101" s="27"/>
      <c r="AB101" s="662"/>
      <c r="AC101" s="663"/>
      <c r="AD101" s="663"/>
      <c r="AE101" s="664"/>
      <c r="AF101" s="23"/>
      <c r="AG101" s="100"/>
      <c r="AH101" s="115"/>
      <c r="AI101" s="122"/>
      <c r="AJ101" s="599"/>
    </row>
    <row r="102" spans="2:36" ht="17.5" customHeight="1">
      <c r="B102" s="27"/>
      <c r="C102" s="653"/>
      <c r="D102" s="654"/>
      <c r="E102" s="654"/>
      <c r="F102" s="655"/>
      <c r="G102" s="23"/>
      <c r="H102" s="171"/>
      <c r="I102" s="19"/>
      <c r="J102" s="680" t="s">
        <v>843</v>
      </c>
      <c r="K102" s="681"/>
      <c r="L102" s="681"/>
      <c r="M102" s="682"/>
      <c r="N102" s="22"/>
      <c r="O102" s="352" t="s">
        <v>835</v>
      </c>
      <c r="P102" s="720" t="s">
        <v>844</v>
      </c>
      <c r="Q102" s="720"/>
      <c r="R102" s="720" t="s">
        <v>845</v>
      </c>
      <c r="S102" s="720"/>
      <c r="T102" s="22"/>
      <c r="U102" s="677" t="s">
        <v>80</v>
      </c>
      <c r="V102" s="678"/>
      <c r="W102" s="678"/>
      <c r="X102" s="679"/>
      <c r="Y102" s="23"/>
      <c r="Z102" s="171"/>
      <c r="AA102" s="27"/>
      <c r="AB102" s="662"/>
      <c r="AC102" s="663"/>
      <c r="AD102" s="663"/>
      <c r="AE102" s="664"/>
      <c r="AF102" s="23"/>
      <c r="AG102" s="100"/>
      <c r="AH102" s="115">
        <f>IF(ISNUMBER(R103),1,0)</f>
        <v>0</v>
      </c>
      <c r="AI102" s="122"/>
      <c r="AJ102" s="599"/>
    </row>
    <row r="103" spans="2:36" ht="17.5" customHeight="1">
      <c r="B103" s="27"/>
      <c r="C103" s="653"/>
      <c r="D103" s="654"/>
      <c r="E103" s="654"/>
      <c r="F103" s="655"/>
      <c r="G103" s="23"/>
      <c r="H103" s="171"/>
      <c r="I103" s="19"/>
      <c r="J103" s="617"/>
      <c r="K103" s="618"/>
      <c r="L103" s="618"/>
      <c r="M103" s="619"/>
      <c r="N103" s="22"/>
      <c r="O103" s="683"/>
      <c r="P103" s="719"/>
      <c r="Q103" s="719"/>
      <c r="R103" s="719"/>
      <c r="S103" s="719"/>
      <c r="T103" s="22"/>
      <c r="U103" s="629"/>
      <c r="V103" s="630"/>
      <c r="W103" s="630"/>
      <c r="X103" s="631"/>
      <c r="Y103" s="23"/>
      <c r="Z103" s="171"/>
      <c r="AA103" s="27"/>
      <c r="AB103" s="662"/>
      <c r="AC103" s="663"/>
      <c r="AD103" s="663"/>
      <c r="AE103" s="664"/>
      <c r="AF103" s="23"/>
      <c r="AG103" s="100"/>
      <c r="AH103" s="115">
        <f>IF(ISNUMBER(P103),1,0)</f>
        <v>0</v>
      </c>
      <c r="AI103" s="122"/>
      <c r="AJ103" s="599"/>
    </row>
    <row r="104" spans="2:36" ht="17.5" customHeight="1">
      <c r="B104" s="27"/>
      <c r="C104" s="653"/>
      <c r="D104" s="654"/>
      <c r="E104" s="654"/>
      <c r="F104" s="655"/>
      <c r="G104" s="23"/>
      <c r="H104" s="171"/>
      <c r="I104" s="19"/>
      <c r="J104" s="620"/>
      <c r="K104" s="621"/>
      <c r="L104" s="621"/>
      <c r="M104" s="622"/>
      <c r="N104" s="22"/>
      <c r="O104" s="683"/>
      <c r="P104" s="719"/>
      <c r="Q104" s="719"/>
      <c r="R104" s="719"/>
      <c r="S104" s="719"/>
      <c r="T104" s="22"/>
      <c r="U104" s="632"/>
      <c r="V104" s="633"/>
      <c r="W104" s="633"/>
      <c r="X104" s="634"/>
      <c r="Y104" s="23"/>
      <c r="Z104" s="171"/>
      <c r="AA104" s="27"/>
      <c r="AB104" s="662"/>
      <c r="AC104" s="663"/>
      <c r="AD104" s="663"/>
      <c r="AE104" s="664"/>
      <c r="AF104" s="23"/>
      <c r="AG104" s="100"/>
      <c r="AH104" s="115">
        <f>IF(ISNUMBER(O103),1,0)</f>
        <v>0</v>
      </c>
      <c r="AI104" s="122"/>
      <c r="AJ104" s="599"/>
    </row>
    <row r="105" spans="2:36" ht="18">
      <c r="B105" s="19"/>
      <c r="C105" s="653"/>
      <c r="D105" s="654"/>
      <c r="E105" s="654"/>
      <c r="F105" s="655"/>
      <c r="G105" s="20"/>
      <c r="H105" s="169"/>
      <c r="I105" s="19"/>
      <c r="J105" s="56"/>
      <c r="K105" s="229"/>
      <c r="L105" s="229"/>
      <c r="M105" s="229"/>
      <c r="N105" s="17"/>
      <c r="O105" s="40"/>
      <c r="P105" s="40"/>
      <c r="Q105" s="40"/>
      <c r="R105" s="17"/>
      <c r="S105" s="25"/>
      <c r="T105" s="17"/>
      <c r="U105" s="50"/>
      <c r="V105" s="50"/>
      <c r="W105" s="50"/>
      <c r="X105" s="50"/>
      <c r="Y105" s="20"/>
      <c r="Z105" s="169"/>
      <c r="AA105" s="19"/>
      <c r="AB105" s="662"/>
      <c r="AC105" s="663"/>
      <c r="AD105" s="663"/>
      <c r="AE105" s="664"/>
      <c r="AF105" s="20"/>
      <c r="AH105" s="115"/>
      <c r="AI105" s="122"/>
      <c r="AJ105" s="599"/>
    </row>
    <row r="106" spans="2:36" ht="16">
      <c r="B106" s="19"/>
      <c r="C106" s="653"/>
      <c r="D106" s="654"/>
      <c r="E106" s="654"/>
      <c r="F106" s="655"/>
      <c r="G106" s="20"/>
      <c r="H106" s="169"/>
      <c r="I106" s="19"/>
      <c r="J106" s="673">
        <v>3.2</v>
      </c>
      <c r="K106" s="612" t="s">
        <v>438</v>
      </c>
      <c r="L106" s="612"/>
      <c r="M106" s="612"/>
      <c r="N106" s="52"/>
      <c r="O106" s="610" t="s">
        <v>204</v>
      </c>
      <c r="P106" s="611"/>
      <c r="Q106" s="611"/>
      <c r="R106" s="610"/>
      <c r="S106" s="46" t="b">
        <v>0</v>
      </c>
      <c r="T106" s="22"/>
      <c r="U106" s="613" t="s">
        <v>80</v>
      </c>
      <c r="V106" s="613"/>
      <c r="W106" s="613"/>
      <c r="X106" s="613"/>
      <c r="Y106" s="20"/>
      <c r="Z106" s="169"/>
      <c r="AA106" s="19"/>
      <c r="AB106" s="662"/>
      <c r="AC106" s="663"/>
      <c r="AD106" s="663"/>
      <c r="AE106" s="664"/>
      <c r="AF106" s="20"/>
      <c r="AH106" s="115">
        <f>IF(S106,1,0)</f>
        <v>0</v>
      </c>
      <c r="AI106" s="116">
        <f>IF(AH106,7,IF(AH107,5,IF(AH108,5,IF(AH109,3,IF(AH110,0,0)))))</f>
        <v>0</v>
      </c>
      <c r="AJ106" s="599"/>
    </row>
    <row r="107" spans="2:36" ht="16">
      <c r="B107" s="19"/>
      <c r="C107" s="653"/>
      <c r="D107" s="654"/>
      <c r="E107" s="654"/>
      <c r="F107" s="655"/>
      <c r="G107" s="20"/>
      <c r="H107" s="169"/>
      <c r="I107" s="19"/>
      <c r="J107" s="673"/>
      <c r="K107" s="612"/>
      <c r="L107" s="612"/>
      <c r="M107" s="612"/>
      <c r="N107" s="52"/>
      <c r="O107" s="610" t="s">
        <v>205</v>
      </c>
      <c r="P107" s="611"/>
      <c r="Q107" s="611"/>
      <c r="R107" s="610"/>
      <c r="S107" s="46" t="b">
        <v>0</v>
      </c>
      <c r="T107" s="22"/>
      <c r="U107" s="613"/>
      <c r="V107" s="613"/>
      <c r="W107" s="613"/>
      <c r="X107" s="613"/>
      <c r="Y107" s="20"/>
      <c r="Z107" s="169"/>
      <c r="AA107" s="19"/>
      <c r="AB107" s="662"/>
      <c r="AC107" s="663"/>
      <c r="AD107" s="663"/>
      <c r="AE107" s="664"/>
      <c r="AF107" s="20"/>
      <c r="AH107" s="115">
        <f>IF(S107,1,0)</f>
        <v>0</v>
      </c>
      <c r="AI107" s="122"/>
      <c r="AJ107" s="599"/>
    </row>
    <row r="108" spans="2:36" ht="16">
      <c r="B108" s="19"/>
      <c r="C108" s="653"/>
      <c r="D108" s="654"/>
      <c r="E108" s="654"/>
      <c r="F108" s="655"/>
      <c r="G108" s="20"/>
      <c r="H108" s="169"/>
      <c r="I108" s="19"/>
      <c r="J108" s="673"/>
      <c r="K108" s="612"/>
      <c r="L108" s="612"/>
      <c r="M108" s="612"/>
      <c r="N108" s="52"/>
      <c r="O108" s="610" t="s">
        <v>206</v>
      </c>
      <c r="P108" s="611"/>
      <c r="Q108" s="611"/>
      <c r="R108" s="610"/>
      <c r="S108" s="46" t="b">
        <v>0</v>
      </c>
      <c r="T108" s="22"/>
      <c r="U108" s="613"/>
      <c r="V108" s="613"/>
      <c r="W108" s="613"/>
      <c r="X108" s="613"/>
      <c r="Y108" s="20"/>
      <c r="Z108" s="169"/>
      <c r="AA108" s="19"/>
      <c r="AB108" s="662"/>
      <c r="AC108" s="663"/>
      <c r="AD108" s="663"/>
      <c r="AE108" s="664"/>
      <c r="AF108" s="20"/>
      <c r="AH108" s="115">
        <f>IF(S108,1,0)</f>
        <v>0</v>
      </c>
      <c r="AI108" s="122"/>
      <c r="AJ108" s="599"/>
    </row>
    <row r="109" spans="2:36" ht="16">
      <c r="B109" s="19"/>
      <c r="C109" s="653"/>
      <c r="D109" s="654"/>
      <c r="E109" s="654"/>
      <c r="F109" s="655"/>
      <c r="G109" s="20"/>
      <c r="H109" s="169"/>
      <c r="I109" s="19"/>
      <c r="J109" s="673"/>
      <c r="K109" s="612"/>
      <c r="L109" s="612"/>
      <c r="M109" s="612"/>
      <c r="N109" s="52"/>
      <c r="O109" s="610" t="s">
        <v>207</v>
      </c>
      <c r="P109" s="611"/>
      <c r="Q109" s="611"/>
      <c r="R109" s="610"/>
      <c r="S109" s="46" t="b">
        <v>0</v>
      </c>
      <c r="T109" s="22"/>
      <c r="U109" s="613"/>
      <c r="V109" s="613"/>
      <c r="W109" s="613"/>
      <c r="X109" s="613"/>
      <c r="Y109" s="20"/>
      <c r="Z109" s="169"/>
      <c r="AA109" s="19"/>
      <c r="AB109" s="662"/>
      <c r="AC109" s="663"/>
      <c r="AD109" s="663"/>
      <c r="AE109" s="664"/>
      <c r="AF109" s="20"/>
      <c r="AH109" s="115">
        <f>IF(S109,1,0)</f>
        <v>0</v>
      </c>
      <c r="AI109" s="122"/>
      <c r="AJ109" s="599"/>
    </row>
    <row r="110" spans="2:36" ht="16">
      <c r="B110" s="19"/>
      <c r="C110" s="653"/>
      <c r="D110" s="654"/>
      <c r="E110" s="654"/>
      <c r="F110" s="655"/>
      <c r="G110" s="20"/>
      <c r="H110" s="169"/>
      <c r="I110" s="19"/>
      <c r="J110" s="673"/>
      <c r="K110" s="612"/>
      <c r="L110" s="612"/>
      <c r="M110" s="612"/>
      <c r="N110" s="52"/>
      <c r="O110" s="610" t="s">
        <v>208</v>
      </c>
      <c r="P110" s="611"/>
      <c r="Q110" s="611"/>
      <c r="R110" s="610"/>
      <c r="S110" s="46" t="b">
        <v>0</v>
      </c>
      <c r="T110" s="22"/>
      <c r="U110" s="613"/>
      <c r="V110" s="613"/>
      <c r="W110" s="613"/>
      <c r="X110" s="613"/>
      <c r="Y110" s="20"/>
      <c r="Z110" s="169"/>
      <c r="AA110" s="19"/>
      <c r="AB110" s="662"/>
      <c r="AC110" s="663"/>
      <c r="AD110" s="663"/>
      <c r="AE110" s="664"/>
      <c r="AF110" s="20"/>
      <c r="AH110" s="115">
        <f>IF(S110,1,0)</f>
        <v>0</v>
      </c>
      <c r="AI110" s="122"/>
      <c r="AJ110" s="599"/>
    </row>
    <row r="111" spans="2:36" ht="18">
      <c r="B111" s="19"/>
      <c r="C111" s="653"/>
      <c r="D111" s="654"/>
      <c r="E111" s="654"/>
      <c r="F111" s="655"/>
      <c r="G111" s="20"/>
      <c r="H111" s="169"/>
      <c r="I111" s="19"/>
      <c r="J111" s="56"/>
      <c r="K111" s="229"/>
      <c r="L111" s="229"/>
      <c r="M111" s="229"/>
      <c r="N111" s="17"/>
      <c r="O111" s="40"/>
      <c r="P111" s="40"/>
      <c r="Q111" s="40"/>
      <c r="R111" s="17"/>
      <c r="S111" s="25"/>
      <c r="T111" s="17"/>
      <c r="U111" s="17"/>
      <c r="V111" s="17"/>
      <c r="W111" s="17"/>
      <c r="X111" s="17"/>
      <c r="Y111" s="20"/>
      <c r="Z111" s="169"/>
      <c r="AA111" s="19"/>
      <c r="AB111" s="662"/>
      <c r="AC111" s="663"/>
      <c r="AD111" s="663"/>
      <c r="AE111" s="664"/>
      <c r="AF111" s="20"/>
      <c r="AH111" s="115"/>
      <c r="AI111" s="122"/>
      <c r="AJ111" s="599"/>
    </row>
    <row r="112" spans="2:36" ht="16">
      <c r="B112" s="19"/>
      <c r="C112" s="653"/>
      <c r="D112" s="654"/>
      <c r="E112" s="654"/>
      <c r="F112" s="655"/>
      <c r="G112" s="20"/>
      <c r="H112" s="169"/>
      <c r="I112" s="19"/>
      <c r="J112" s="673">
        <v>3.3</v>
      </c>
      <c r="K112" s="612" t="s">
        <v>436</v>
      </c>
      <c r="L112" s="612"/>
      <c r="M112" s="612"/>
      <c r="N112" s="52"/>
      <c r="O112" s="610" t="s">
        <v>209</v>
      </c>
      <c r="P112" s="611"/>
      <c r="Q112" s="611"/>
      <c r="R112" s="610"/>
      <c r="S112" s="46" t="b">
        <v>0</v>
      </c>
      <c r="T112" s="22"/>
      <c r="U112" s="613" t="s">
        <v>80</v>
      </c>
      <c r="V112" s="613"/>
      <c r="W112" s="613"/>
      <c r="X112" s="613"/>
      <c r="Y112" s="20"/>
      <c r="Z112" s="169"/>
      <c r="AA112" s="19"/>
      <c r="AB112" s="662"/>
      <c r="AC112" s="663"/>
      <c r="AD112" s="663"/>
      <c r="AE112" s="664"/>
      <c r="AF112" s="20"/>
      <c r="AH112" s="115">
        <f>IF(S112,1,0)</f>
        <v>0</v>
      </c>
      <c r="AI112" s="116">
        <f>IF(AH112,7,IF(AH113,5,IF(AH114,3,IF(AH115,0,0))))</f>
        <v>0</v>
      </c>
      <c r="AJ112" s="599"/>
    </row>
    <row r="113" spans="2:36" ht="16">
      <c r="B113" s="19"/>
      <c r="C113" s="653"/>
      <c r="D113" s="654"/>
      <c r="E113" s="654"/>
      <c r="F113" s="655"/>
      <c r="G113" s="20"/>
      <c r="H113" s="169"/>
      <c r="I113" s="19"/>
      <c r="J113" s="673"/>
      <c r="K113" s="612"/>
      <c r="L113" s="612"/>
      <c r="M113" s="612"/>
      <c r="N113" s="52"/>
      <c r="O113" s="610" t="s">
        <v>210</v>
      </c>
      <c r="P113" s="611"/>
      <c r="Q113" s="611"/>
      <c r="R113" s="610"/>
      <c r="S113" s="46" t="b">
        <v>0</v>
      </c>
      <c r="T113" s="22"/>
      <c r="U113" s="613"/>
      <c r="V113" s="613"/>
      <c r="W113" s="613"/>
      <c r="X113" s="613"/>
      <c r="Y113" s="20"/>
      <c r="Z113" s="169"/>
      <c r="AA113" s="19"/>
      <c r="AB113" s="662"/>
      <c r="AC113" s="663"/>
      <c r="AD113" s="663"/>
      <c r="AE113" s="664"/>
      <c r="AF113" s="20"/>
      <c r="AH113" s="115">
        <f>IF(S113,1,0)</f>
        <v>0</v>
      </c>
      <c r="AI113" s="122"/>
      <c r="AJ113" s="599"/>
    </row>
    <row r="114" spans="2:36" ht="16">
      <c r="B114" s="19"/>
      <c r="C114" s="653"/>
      <c r="D114" s="654"/>
      <c r="E114" s="654"/>
      <c r="F114" s="655"/>
      <c r="G114" s="20"/>
      <c r="H114" s="169"/>
      <c r="I114" s="19"/>
      <c r="J114" s="673"/>
      <c r="K114" s="612"/>
      <c r="L114" s="612"/>
      <c r="M114" s="612"/>
      <c r="N114" s="52"/>
      <c r="O114" s="610" t="s">
        <v>211</v>
      </c>
      <c r="P114" s="611"/>
      <c r="Q114" s="611"/>
      <c r="R114" s="610"/>
      <c r="S114" s="46" t="b">
        <v>0</v>
      </c>
      <c r="T114" s="22"/>
      <c r="U114" s="613"/>
      <c r="V114" s="613"/>
      <c r="W114" s="613"/>
      <c r="X114" s="613"/>
      <c r="Y114" s="20"/>
      <c r="Z114" s="169"/>
      <c r="AA114" s="19"/>
      <c r="AB114" s="662"/>
      <c r="AC114" s="663"/>
      <c r="AD114" s="663"/>
      <c r="AE114" s="664"/>
      <c r="AF114" s="20"/>
      <c r="AH114" s="115">
        <f>IF(S114,1,0)</f>
        <v>0</v>
      </c>
      <c r="AI114" s="122"/>
      <c r="AJ114" s="599"/>
    </row>
    <row r="115" spans="2:36" ht="16">
      <c r="B115" s="19"/>
      <c r="C115" s="653"/>
      <c r="D115" s="654"/>
      <c r="E115" s="654"/>
      <c r="F115" s="655"/>
      <c r="G115" s="20"/>
      <c r="H115" s="169"/>
      <c r="I115" s="19"/>
      <c r="J115" s="673"/>
      <c r="K115" s="612"/>
      <c r="L115" s="612"/>
      <c r="M115" s="612"/>
      <c r="N115" s="52"/>
      <c r="O115" s="610" t="s">
        <v>212</v>
      </c>
      <c r="P115" s="611"/>
      <c r="Q115" s="611"/>
      <c r="R115" s="610"/>
      <c r="S115" s="46" t="b">
        <v>0</v>
      </c>
      <c r="T115" s="22"/>
      <c r="U115" s="613"/>
      <c r="V115" s="613"/>
      <c r="W115" s="613"/>
      <c r="X115" s="613"/>
      <c r="Y115" s="20"/>
      <c r="Z115" s="169"/>
      <c r="AA115" s="19"/>
      <c r="AB115" s="665"/>
      <c r="AC115" s="666"/>
      <c r="AD115" s="666"/>
      <c r="AE115" s="667"/>
      <c r="AF115" s="20"/>
      <c r="AH115" s="115">
        <f>IF(S115,1,0)</f>
        <v>0</v>
      </c>
      <c r="AI115" s="122"/>
      <c r="AJ115" s="599"/>
    </row>
    <row r="116" spans="2:36" ht="18">
      <c r="B116" s="19"/>
      <c r="C116" s="653"/>
      <c r="D116" s="654"/>
      <c r="E116" s="654"/>
      <c r="F116" s="655"/>
      <c r="G116" s="20"/>
      <c r="H116" s="169"/>
      <c r="I116" s="19"/>
      <c r="J116" s="56"/>
      <c r="K116" s="229"/>
      <c r="L116" s="229"/>
      <c r="M116" s="229"/>
      <c r="N116" s="17"/>
      <c r="O116" s="40"/>
      <c r="P116" s="40"/>
      <c r="Q116" s="40"/>
      <c r="R116" s="17"/>
      <c r="S116" s="25"/>
      <c r="T116" s="17"/>
      <c r="U116" s="17"/>
      <c r="V116" s="17"/>
      <c r="W116" s="17"/>
      <c r="X116" s="17"/>
      <c r="Y116" s="20"/>
      <c r="Z116" s="169"/>
      <c r="AA116" s="19"/>
      <c r="AB116" s="45"/>
      <c r="AC116" s="45"/>
      <c r="AD116" s="45"/>
      <c r="AE116" s="45"/>
      <c r="AF116" s="20"/>
      <c r="AH116" s="115"/>
      <c r="AI116" s="122"/>
      <c r="AJ116" s="599"/>
    </row>
    <row r="117" spans="2:36" ht="32" customHeight="1">
      <c r="B117" s="19"/>
      <c r="C117" s="653"/>
      <c r="D117" s="654"/>
      <c r="E117" s="654"/>
      <c r="F117" s="655"/>
      <c r="G117" s="20"/>
      <c r="H117" s="169"/>
      <c r="I117" s="19"/>
      <c r="J117" s="673">
        <v>3.4</v>
      </c>
      <c r="K117" s="612" t="s">
        <v>485</v>
      </c>
      <c r="L117" s="612"/>
      <c r="M117" s="612"/>
      <c r="N117" s="52"/>
      <c r="O117" s="677"/>
      <c r="P117" s="678"/>
      <c r="Q117" s="678"/>
      <c r="R117" s="678"/>
      <c r="S117" s="678"/>
      <c r="T117" s="678"/>
      <c r="U117" s="678"/>
      <c r="V117" s="678"/>
      <c r="W117" s="678"/>
      <c r="X117" s="679"/>
      <c r="Y117" s="20"/>
      <c r="Z117" s="169"/>
      <c r="AA117" s="19"/>
      <c r="AB117" s="610"/>
      <c r="AC117" s="610"/>
      <c r="AD117" s="610"/>
      <c r="AE117" s="610"/>
      <c r="AF117" s="20"/>
      <c r="AH117" s="115">
        <f>IF(ISTEXT(O117),1,0)</f>
        <v>0</v>
      </c>
      <c r="AI117" s="116"/>
      <c r="AJ117" s="599"/>
    </row>
    <row r="118" spans="2:36" ht="32" customHeight="1">
      <c r="B118" s="19"/>
      <c r="C118" s="653"/>
      <c r="D118" s="654"/>
      <c r="E118" s="654"/>
      <c r="F118" s="655"/>
      <c r="G118" s="20"/>
      <c r="H118" s="169"/>
      <c r="I118" s="19"/>
      <c r="J118" s="673"/>
      <c r="K118" s="612"/>
      <c r="L118" s="612"/>
      <c r="M118" s="612"/>
      <c r="N118" s="52"/>
      <c r="O118" s="629"/>
      <c r="P118" s="630"/>
      <c r="Q118" s="630"/>
      <c r="R118" s="630"/>
      <c r="S118" s="630"/>
      <c r="T118" s="630"/>
      <c r="U118" s="630"/>
      <c r="V118" s="630"/>
      <c r="W118" s="630"/>
      <c r="X118" s="631"/>
      <c r="Y118" s="20"/>
      <c r="Z118" s="169"/>
      <c r="AA118" s="19"/>
      <c r="AB118" s="610"/>
      <c r="AC118" s="610"/>
      <c r="AD118" s="610"/>
      <c r="AE118" s="610"/>
      <c r="AF118" s="20"/>
      <c r="AH118" s="115"/>
      <c r="AI118" s="122"/>
      <c r="AJ118" s="599"/>
    </row>
    <row r="119" spans="2:36" ht="16">
      <c r="B119" s="19"/>
      <c r="C119" s="653"/>
      <c r="D119" s="654"/>
      <c r="E119" s="654"/>
      <c r="F119" s="655"/>
      <c r="G119" s="20"/>
      <c r="H119" s="169"/>
      <c r="I119" s="19"/>
      <c r="J119" s="673"/>
      <c r="K119" s="612"/>
      <c r="L119" s="612"/>
      <c r="M119" s="612"/>
      <c r="N119" s="52"/>
      <c r="O119" s="629"/>
      <c r="P119" s="630"/>
      <c r="Q119" s="630"/>
      <c r="R119" s="630"/>
      <c r="S119" s="630"/>
      <c r="T119" s="630"/>
      <c r="U119" s="630"/>
      <c r="V119" s="630"/>
      <c r="W119" s="630"/>
      <c r="X119" s="631"/>
      <c r="Y119" s="20"/>
      <c r="Z119" s="169"/>
      <c r="AA119" s="19"/>
      <c r="AB119" s="610"/>
      <c r="AC119" s="610"/>
      <c r="AD119" s="610"/>
      <c r="AE119" s="610"/>
      <c r="AF119" s="20"/>
      <c r="AH119" s="115"/>
      <c r="AI119" s="122"/>
      <c r="AJ119" s="599"/>
    </row>
    <row r="120" spans="2:36" ht="16">
      <c r="B120" s="19"/>
      <c r="C120" s="656"/>
      <c r="D120" s="657"/>
      <c r="E120" s="657"/>
      <c r="F120" s="658"/>
      <c r="G120" s="20"/>
      <c r="H120" s="169"/>
      <c r="I120" s="19"/>
      <c r="J120" s="673"/>
      <c r="K120" s="612"/>
      <c r="L120" s="612"/>
      <c r="M120" s="612"/>
      <c r="N120" s="52"/>
      <c r="O120" s="632"/>
      <c r="P120" s="633"/>
      <c r="Q120" s="633"/>
      <c r="R120" s="633"/>
      <c r="S120" s="633"/>
      <c r="T120" s="633"/>
      <c r="U120" s="633"/>
      <c r="V120" s="633"/>
      <c r="W120" s="633"/>
      <c r="X120" s="634"/>
      <c r="Y120" s="20"/>
      <c r="Z120" s="169"/>
      <c r="AA120" s="19"/>
      <c r="AB120" s="610"/>
      <c r="AC120" s="610"/>
      <c r="AD120" s="610"/>
      <c r="AE120" s="610"/>
      <c r="AF120" s="20"/>
      <c r="AH120" s="115"/>
      <c r="AI120" s="122"/>
      <c r="AJ120" s="600"/>
    </row>
    <row r="121" spans="2:36" ht="15.5" customHeight="1" thickBot="1">
      <c r="B121" s="19"/>
      <c r="C121" s="45"/>
      <c r="D121" s="45"/>
      <c r="E121" s="45"/>
      <c r="F121" s="45"/>
      <c r="G121" s="20"/>
      <c r="H121" s="169"/>
      <c r="I121" s="19"/>
      <c r="J121" s="56"/>
      <c r="K121" s="224"/>
      <c r="L121" s="224"/>
      <c r="M121" s="224"/>
      <c r="N121" s="17"/>
      <c r="O121" s="40"/>
      <c r="P121" s="40"/>
      <c r="Q121" s="40"/>
      <c r="R121" s="17"/>
      <c r="S121" s="25"/>
      <c r="T121" s="17"/>
      <c r="U121" s="17"/>
      <c r="V121" s="17"/>
      <c r="W121" s="17"/>
      <c r="X121" s="17"/>
      <c r="Y121" s="20"/>
      <c r="Z121" s="169"/>
      <c r="AA121" s="19"/>
      <c r="AB121" s="45"/>
      <c r="AC121" s="45"/>
      <c r="AD121" s="45"/>
      <c r="AE121" s="45"/>
      <c r="AF121" s="20"/>
      <c r="AH121" s="127">
        <f>SUM(AH96:AH120)</f>
        <v>0</v>
      </c>
      <c r="AI121" s="127">
        <f>SUM(AI96:AI120)</f>
        <v>0</v>
      </c>
      <c r="AJ121" s="127"/>
    </row>
    <row r="122" spans="2:36" ht="15" customHeight="1" thickTop="1">
      <c r="B122" s="19"/>
      <c r="C122" s="687" t="s">
        <v>849</v>
      </c>
      <c r="D122" s="688"/>
      <c r="E122" s="688"/>
      <c r="F122" s="689"/>
      <c r="G122" s="20"/>
      <c r="H122" s="169"/>
      <c r="I122" s="19"/>
      <c r="J122" s="28" t="s">
        <v>40</v>
      </c>
      <c r="K122" s="225" t="s">
        <v>867</v>
      </c>
      <c r="L122" s="224"/>
      <c r="M122" s="224"/>
      <c r="N122" s="17"/>
      <c r="O122" s="40"/>
      <c r="P122" s="40"/>
      <c r="Q122" s="40"/>
      <c r="R122" s="17"/>
      <c r="S122" s="25"/>
      <c r="T122" s="17"/>
      <c r="U122" s="50"/>
      <c r="V122" s="50"/>
      <c r="W122" s="50"/>
      <c r="X122" s="50"/>
      <c r="Y122" s="20"/>
      <c r="Z122" s="169"/>
      <c r="AA122" s="19"/>
      <c r="AB122" s="45"/>
      <c r="AC122" s="45"/>
      <c r="AD122" s="45"/>
      <c r="AE122" s="45"/>
      <c r="AF122" s="20"/>
    </row>
    <row r="123" spans="2:36" ht="15" customHeight="1">
      <c r="B123" s="19"/>
      <c r="C123" s="653"/>
      <c r="D123" s="654"/>
      <c r="E123" s="654"/>
      <c r="F123" s="655"/>
      <c r="G123" s="20"/>
      <c r="H123" s="169"/>
      <c r="I123" s="19"/>
      <c r="J123" s="56"/>
      <c r="K123" s="224"/>
      <c r="L123" s="224"/>
      <c r="M123" s="224"/>
      <c r="N123" s="17"/>
      <c r="O123" s="40"/>
      <c r="P123" s="40"/>
      <c r="Q123" s="40"/>
      <c r="R123" s="17"/>
      <c r="S123" s="25"/>
      <c r="T123" s="17"/>
      <c r="U123" s="50"/>
      <c r="V123" s="50"/>
      <c r="W123" s="50"/>
      <c r="X123" s="50"/>
      <c r="Y123" s="20"/>
      <c r="Z123" s="169"/>
      <c r="AA123" s="19"/>
      <c r="AB123" s="45"/>
      <c r="AC123" s="45"/>
      <c r="AD123" s="45"/>
      <c r="AE123" s="45"/>
      <c r="AF123" s="20"/>
    </row>
    <row r="124" spans="2:36" ht="50.5" customHeight="1">
      <c r="B124" s="27"/>
      <c r="C124" s="653"/>
      <c r="D124" s="654"/>
      <c r="E124" s="654"/>
      <c r="F124" s="655"/>
      <c r="G124" s="23"/>
      <c r="H124" s="171"/>
      <c r="I124" s="19"/>
      <c r="J124" s="623">
        <v>4.0999999999999996</v>
      </c>
      <c r="K124" s="614" t="s">
        <v>235</v>
      </c>
      <c r="L124" s="615"/>
      <c r="M124" s="616"/>
      <c r="N124" s="22"/>
      <c r="O124" s="548" t="s">
        <v>500</v>
      </c>
      <c r="P124" s="549"/>
      <c r="Q124" s="549"/>
      <c r="R124" s="550"/>
      <c r="S124" s="46" t="b">
        <v>0</v>
      </c>
      <c r="T124" s="22"/>
      <c r="U124" s="626" t="s">
        <v>80</v>
      </c>
      <c r="V124" s="627"/>
      <c r="W124" s="627"/>
      <c r="X124" s="628"/>
      <c r="Y124" s="23"/>
      <c r="Z124" s="171"/>
      <c r="AA124" s="27"/>
      <c r="AB124" s="659" t="str">
        <f>IF(AH128,Feedback_List!B15,IF(Milestone_1!AH127,Feedback_List!C15,IF(Milestone_1!AH126,Feedback_List!C15,IF(AH125,Feedback_List!C15," "))))</f>
        <v xml:space="preserve"> </v>
      </c>
      <c r="AC124" s="660"/>
      <c r="AD124" s="660"/>
      <c r="AE124" s="661"/>
      <c r="AF124" s="23"/>
      <c r="AG124" s="100"/>
      <c r="AH124" s="185">
        <f>IF(S124,1,0)</f>
        <v>0</v>
      </c>
      <c r="AI124" s="205">
        <f>IF(AH124=1, 5, IF(AH125=1, 3, IF(AH126=1, 2, IF(AH127=1, 1, IF(AH128,0,0)))))</f>
        <v>0</v>
      </c>
      <c r="AJ124" s="598">
        <f>SUM(AI124:AI139) * AO12</f>
        <v>0</v>
      </c>
    </row>
    <row r="125" spans="2:36" ht="38.5" customHeight="1">
      <c r="B125" s="27"/>
      <c r="C125" s="653"/>
      <c r="D125" s="654"/>
      <c r="E125" s="654"/>
      <c r="F125" s="655"/>
      <c r="G125" s="23"/>
      <c r="H125" s="171"/>
      <c r="I125" s="19"/>
      <c r="J125" s="624"/>
      <c r="K125" s="617"/>
      <c r="L125" s="618"/>
      <c r="M125" s="619"/>
      <c r="N125" s="22"/>
      <c r="O125" s="548" t="s">
        <v>42</v>
      </c>
      <c r="P125" s="549"/>
      <c r="Q125" s="549"/>
      <c r="R125" s="550"/>
      <c r="S125" s="46" t="b">
        <v>0</v>
      </c>
      <c r="T125" s="22"/>
      <c r="U125" s="629"/>
      <c r="V125" s="630"/>
      <c r="W125" s="630"/>
      <c r="X125" s="631"/>
      <c r="Y125" s="23"/>
      <c r="Z125" s="171"/>
      <c r="AA125" s="27"/>
      <c r="AB125" s="662"/>
      <c r="AC125" s="663"/>
      <c r="AD125" s="663"/>
      <c r="AE125" s="664"/>
      <c r="AF125" s="23"/>
      <c r="AG125" s="100"/>
      <c r="AH125" s="123">
        <f>IF(S125,1,0)</f>
        <v>0</v>
      </c>
      <c r="AI125" s="116"/>
      <c r="AJ125" s="599"/>
    </row>
    <row r="126" spans="2:36" ht="38.5" customHeight="1">
      <c r="B126" s="27"/>
      <c r="C126" s="653"/>
      <c r="D126" s="654"/>
      <c r="E126" s="654"/>
      <c r="F126" s="655"/>
      <c r="G126" s="23"/>
      <c r="H126" s="171"/>
      <c r="I126" s="19"/>
      <c r="J126" s="624"/>
      <c r="K126" s="617"/>
      <c r="L126" s="618"/>
      <c r="M126" s="619"/>
      <c r="N126" s="22"/>
      <c r="O126" s="548" t="s">
        <v>41</v>
      </c>
      <c r="P126" s="549"/>
      <c r="Q126" s="549"/>
      <c r="R126" s="550"/>
      <c r="S126" s="46" t="b">
        <v>0</v>
      </c>
      <c r="T126" s="22"/>
      <c r="U126" s="629"/>
      <c r="V126" s="630"/>
      <c r="W126" s="630"/>
      <c r="X126" s="631"/>
      <c r="Y126" s="23"/>
      <c r="Z126" s="171"/>
      <c r="AA126" s="27"/>
      <c r="AB126" s="662"/>
      <c r="AC126" s="663"/>
      <c r="AD126" s="663"/>
      <c r="AE126" s="664"/>
      <c r="AF126" s="23"/>
      <c r="AG126" s="100"/>
      <c r="AH126" s="123">
        <f>IF(S126,1,0)</f>
        <v>0</v>
      </c>
      <c r="AI126" s="116"/>
      <c r="AJ126" s="599"/>
    </row>
    <row r="127" spans="2:36" ht="38.5" customHeight="1">
      <c r="B127" s="27"/>
      <c r="C127" s="653"/>
      <c r="D127" s="654"/>
      <c r="E127" s="654"/>
      <c r="F127" s="655"/>
      <c r="G127" s="23"/>
      <c r="H127" s="171"/>
      <c r="I127" s="19"/>
      <c r="J127" s="624"/>
      <c r="K127" s="617"/>
      <c r="L127" s="618"/>
      <c r="M127" s="619"/>
      <c r="N127" s="22"/>
      <c r="O127" s="548" t="s">
        <v>501</v>
      </c>
      <c r="P127" s="549"/>
      <c r="Q127" s="549"/>
      <c r="R127" s="550"/>
      <c r="S127" s="46" t="b">
        <v>0</v>
      </c>
      <c r="T127" s="22"/>
      <c r="U127" s="629"/>
      <c r="V127" s="630"/>
      <c r="W127" s="630"/>
      <c r="X127" s="631"/>
      <c r="Y127" s="23"/>
      <c r="Z127" s="171"/>
      <c r="AA127" s="27"/>
      <c r="AB127" s="662"/>
      <c r="AC127" s="663"/>
      <c r="AD127" s="663"/>
      <c r="AE127" s="664"/>
      <c r="AF127" s="23"/>
      <c r="AG127" s="100"/>
      <c r="AH127" s="123">
        <f>IF(S127,1,0)</f>
        <v>0</v>
      </c>
      <c r="AI127" s="116"/>
      <c r="AJ127" s="599"/>
    </row>
    <row r="128" spans="2:36" ht="38.5" customHeight="1">
      <c r="B128" s="27"/>
      <c r="C128" s="653"/>
      <c r="D128" s="654"/>
      <c r="E128" s="654"/>
      <c r="F128" s="655"/>
      <c r="G128" s="23"/>
      <c r="H128" s="171"/>
      <c r="I128" s="19"/>
      <c r="J128" s="625"/>
      <c r="K128" s="620"/>
      <c r="L128" s="621"/>
      <c r="M128" s="622"/>
      <c r="N128" s="22"/>
      <c r="O128" s="548" t="s">
        <v>213</v>
      </c>
      <c r="P128" s="549"/>
      <c r="Q128" s="549"/>
      <c r="R128" s="550"/>
      <c r="S128" s="46" t="b">
        <v>0</v>
      </c>
      <c r="T128" s="22"/>
      <c r="U128" s="632"/>
      <c r="V128" s="633"/>
      <c r="W128" s="633"/>
      <c r="X128" s="634"/>
      <c r="Y128" s="23"/>
      <c r="Z128" s="171"/>
      <c r="AA128" s="27"/>
      <c r="AB128" s="665"/>
      <c r="AC128" s="666"/>
      <c r="AD128" s="666"/>
      <c r="AE128" s="667"/>
      <c r="AF128" s="23"/>
      <c r="AG128" s="100"/>
      <c r="AH128" s="123">
        <f>IF(S128,1,0)</f>
        <v>0</v>
      </c>
      <c r="AI128" s="116"/>
      <c r="AJ128" s="599"/>
    </row>
    <row r="129" spans="2:36" ht="15" customHeight="1">
      <c r="B129" s="19"/>
      <c r="C129" s="653"/>
      <c r="D129" s="654"/>
      <c r="E129" s="654"/>
      <c r="F129" s="655"/>
      <c r="G129" s="20"/>
      <c r="H129" s="169"/>
      <c r="I129" s="19"/>
      <c r="J129" s="56"/>
      <c r="K129" s="229"/>
      <c r="L129" s="229"/>
      <c r="M129" s="229"/>
      <c r="N129" s="17"/>
      <c r="O129" s="40"/>
      <c r="P129" s="40"/>
      <c r="Q129" s="40"/>
      <c r="R129" s="17"/>
      <c r="S129" s="25"/>
      <c r="T129" s="17"/>
      <c r="U129" s="50"/>
      <c r="V129" s="50"/>
      <c r="W129" s="50"/>
      <c r="X129" s="50"/>
      <c r="Y129" s="20"/>
      <c r="Z129" s="169"/>
      <c r="AA129" s="19"/>
      <c r="AB129" s="45"/>
      <c r="AC129" s="45"/>
      <c r="AD129" s="45"/>
      <c r="AE129" s="45"/>
      <c r="AF129" s="20"/>
      <c r="AH129" s="123"/>
      <c r="AI129" s="122"/>
      <c r="AJ129" s="599"/>
    </row>
    <row r="130" spans="2:36" ht="15.5" customHeight="1">
      <c r="B130" s="27"/>
      <c r="C130" s="653"/>
      <c r="D130" s="654"/>
      <c r="E130" s="654"/>
      <c r="F130" s="655"/>
      <c r="G130" s="23"/>
      <c r="H130" s="171"/>
      <c r="I130" s="19"/>
      <c r="J130" s="690">
        <v>4.2</v>
      </c>
      <c r="K130" s="680" t="s">
        <v>236</v>
      </c>
      <c r="L130" s="681"/>
      <c r="M130" s="682"/>
      <c r="N130" s="24"/>
      <c r="O130" s="684" t="s">
        <v>43</v>
      </c>
      <c r="P130" s="685"/>
      <c r="Q130" s="685"/>
      <c r="R130" s="686"/>
      <c r="S130" s="46" t="b">
        <v>0</v>
      </c>
      <c r="T130" s="22"/>
      <c r="U130" s="677" t="s">
        <v>80</v>
      </c>
      <c r="V130" s="678"/>
      <c r="W130" s="678"/>
      <c r="X130" s="679"/>
      <c r="Y130" s="23"/>
      <c r="Z130" s="171"/>
      <c r="AA130" s="27"/>
      <c r="AB130" s="674" t="str">
        <f>IF(S140,Feedback_List!B16," ")</f>
        <v xml:space="preserve"> </v>
      </c>
      <c r="AC130" s="675"/>
      <c r="AD130" s="675"/>
      <c r="AE130" s="676"/>
      <c r="AF130" s="23"/>
      <c r="AG130" s="100"/>
      <c r="AH130" s="115">
        <f>IF(S130,1,0)</f>
        <v>0</v>
      </c>
      <c r="AI130" s="116">
        <f t="shared" ref="AI130:AI139" si="11">IF(AH130=1,1,0)</f>
        <v>0</v>
      </c>
      <c r="AJ130" s="599"/>
    </row>
    <row r="131" spans="2:36" ht="15.5" customHeight="1">
      <c r="B131" s="27"/>
      <c r="C131" s="653"/>
      <c r="D131" s="654"/>
      <c r="E131" s="654"/>
      <c r="F131" s="655"/>
      <c r="G131" s="23"/>
      <c r="H131" s="171"/>
      <c r="I131" s="19"/>
      <c r="J131" s="624"/>
      <c r="K131" s="617"/>
      <c r="L131" s="618"/>
      <c r="M131" s="619"/>
      <c r="N131" s="24"/>
      <c r="O131" s="684" t="s">
        <v>44</v>
      </c>
      <c r="P131" s="685"/>
      <c r="Q131" s="685"/>
      <c r="R131" s="686"/>
      <c r="S131" s="46" t="b">
        <v>0</v>
      </c>
      <c r="T131" s="22"/>
      <c r="U131" s="629"/>
      <c r="V131" s="630"/>
      <c r="W131" s="630"/>
      <c r="X131" s="631"/>
      <c r="Y131" s="23"/>
      <c r="Z131" s="171"/>
      <c r="AA131" s="27"/>
      <c r="AB131" s="662"/>
      <c r="AC131" s="663"/>
      <c r="AD131" s="663"/>
      <c r="AE131" s="664"/>
      <c r="AF131" s="23"/>
      <c r="AG131" s="100"/>
      <c r="AH131" s="115">
        <f>IF(S131,1,0)</f>
        <v>0</v>
      </c>
      <c r="AI131" s="116">
        <f t="shared" si="11"/>
        <v>0</v>
      </c>
      <c r="AJ131" s="599"/>
    </row>
    <row r="132" spans="2:36" ht="15.5" customHeight="1">
      <c r="B132" s="27"/>
      <c r="C132" s="653"/>
      <c r="D132" s="654"/>
      <c r="E132" s="654"/>
      <c r="F132" s="655"/>
      <c r="G132" s="23"/>
      <c r="H132" s="171"/>
      <c r="I132" s="19"/>
      <c r="J132" s="624"/>
      <c r="K132" s="617"/>
      <c r="L132" s="618"/>
      <c r="M132" s="619"/>
      <c r="N132" s="24"/>
      <c r="O132" s="684" t="s">
        <v>45</v>
      </c>
      <c r="P132" s="685"/>
      <c r="Q132" s="685"/>
      <c r="R132" s="686"/>
      <c r="S132" s="46" t="b">
        <v>0</v>
      </c>
      <c r="T132" s="22"/>
      <c r="U132" s="629"/>
      <c r="V132" s="630"/>
      <c r="W132" s="630"/>
      <c r="X132" s="631"/>
      <c r="Y132" s="23"/>
      <c r="Z132" s="171"/>
      <c r="AA132" s="27"/>
      <c r="AB132" s="662"/>
      <c r="AC132" s="663"/>
      <c r="AD132" s="663"/>
      <c r="AE132" s="664"/>
      <c r="AF132" s="23"/>
      <c r="AG132" s="100"/>
      <c r="AH132" s="115">
        <f t="shared" ref="AH132:AH139" si="12">IF(S132,1,0)</f>
        <v>0</v>
      </c>
      <c r="AI132" s="116">
        <f t="shared" si="11"/>
        <v>0</v>
      </c>
      <c r="AJ132" s="599"/>
    </row>
    <row r="133" spans="2:36" ht="15.5" customHeight="1">
      <c r="B133" s="19"/>
      <c r="C133" s="653"/>
      <c r="D133" s="654"/>
      <c r="E133" s="654"/>
      <c r="F133" s="655"/>
      <c r="G133" s="20"/>
      <c r="H133" s="169"/>
      <c r="I133" s="19"/>
      <c r="J133" s="624"/>
      <c r="K133" s="617"/>
      <c r="L133" s="618"/>
      <c r="M133" s="619"/>
      <c r="N133" s="24"/>
      <c r="O133" s="604" t="s">
        <v>46</v>
      </c>
      <c r="P133" s="605"/>
      <c r="Q133" s="605"/>
      <c r="R133" s="606"/>
      <c r="S133" s="44" t="b">
        <v>0</v>
      </c>
      <c r="T133" s="17"/>
      <c r="U133" s="629"/>
      <c r="V133" s="630"/>
      <c r="W133" s="630"/>
      <c r="X133" s="631"/>
      <c r="Y133" s="20"/>
      <c r="Z133" s="169"/>
      <c r="AA133" s="19"/>
      <c r="AB133" s="662"/>
      <c r="AC133" s="663"/>
      <c r="AD133" s="663"/>
      <c r="AE133" s="664"/>
      <c r="AF133" s="20"/>
      <c r="AH133" s="115">
        <f t="shared" si="12"/>
        <v>0</v>
      </c>
      <c r="AI133" s="116">
        <f t="shared" si="11"/>
        <v>0</v>
      </c>
      <c r="AJ133" s="599"/>
    </row>
    <row r="134" spans="2:36" ht="15.5" customHeight="1">
      <c r="B134" s="19"/>
      <c r="C134" s="653"/>
      <c r="D134" s="654"/>
      <c r="E134" s="654"/>
      <c r="F134" s="655"/>
      <c r="G134" s="20"/>
      <c r="H134" s="169"/>
      <c r="I134" s="19"/>
      <c r="J134" s="624"/>
      <c r="K134" s="617"/>
      <c r="L134" s="618"/>
      <c r="M134" s="619"/>
      <c r="N134" s="24"/>
      <c r="O134" s="604" t="s">
        <v>47</v>
      </c>
      <c r="P134" s="605"/>
      <c r="Q134" s="605"/>
      <c r="R134" s="606"/>
      <c r="S134" s="44" t="b">
        <v>0</v>
      </c>
      <c r="T134" s="17"/>
      <c r="U134" s="629"/>
      <c r="V134" s="630"/>
      <c r="W134" s="630"/>
      <c r="X134" s="631"/>
      <c r="Y134" s="20"/>
      <c r="Z134" s="169"/>
      <c r="AA134" s="19"/>
      <c r="AB134" s="662"/>
      <c r="AC134" s="663"/>
      <c r="AD134" s="663"/>
      <c r="AE134" s="664"/>
      <c r="AF134" s="20"/>
      <c r="AH134" s="115">
        <f t="shared" si="12"/>
        <v>0</v>
      </c>
      <c r="AI134" s="116">
        <f t="shared" si="11"/>
        <v>0</v>
      </c>
      <c r="AJ134" s="599"/>
    </row>
    <row r="135" spans="2:36" ht="15.5" customHeight="1">
      <c r="B135" s="19"/>
      <c r="C135" s="653"/>
      <c r="D135" s="654"/>
      <c r="E135" s="654"/>
      <c r="F135" s="655"/>
      <c r="G135" s="20"/>
      <c r="H135" s="169"/>
      <c r="I135" s="19"/>
      <c r="J135" s="624"/>
      <c r="K135" s="617"/>
      <c r="L135" s="618"/>
      <c r="M135" s="619"/>
      <c r="N135" s="24"/>
      <c r="O135" s="604" t="s">
        <v>48</v>
      </c>
      <c r="P135" s="605"/>
      <c r="Q135" s="605"/>
      <c r="R135" s="606"/>
      <c r="S135" s="44" t="b">
        <v>0</v>
      </c>
      <c r="T135" s="17"/>
      <c r="U135" s="629"/>
      <c r="V135" s="630"/>
      <c r="W135" s="630"/>
      <c r="X135" s="631"/>
      <c r="Y135" s="20"/>
      <c r="Z135" s="169"/>
      <c r="AA135" s="19"/>
      <c r="AB135" s="662"/>
      <c r="AC135" s="663"/>
      <c r="AD135" s="663"/>
      <c r="AE135" s="664"/>
      <c r="AF135" s="20"/>
      <c r="AH135" s="115">
        <f t="shared" si="12"/>
        <v>0</v>
      </c>
      <c r="AI135" s="116">
        <f t="shared" si="11"/>
        <v>0</v>
      </c>
      <c r="AJ135" s="599"/>
    </row>
    <row r="136" spans="2:36" ht="15.5" customHeight="1">
      <c r="B136" s="19"/>
      <c r="C136" s="653"/>
      <c r="D136" s="654"/>
      <c r="E136" s="654"/>
      <c r="F136" s="655"/>
      <c r="G136" s="20"/>
      <c r="H136" s="169"/>
      <c r="I136" s="19"/>
      <c r="J136" s="624"/>
      <c r="K136" s="617"/>
      <c r="L136" s="618"/>
      <c r="M136" s="619"/>
      <c r="N136" s="24"/>
      <c r="O136" s="604" t="s">
        <v>49</v>
      </c>
      <c r="P136" s="605"/>
      <c r="Q136" s="605"/>
      <c r="R136" s="606"/>
      <c r="S136" s="44" t="b">
        <v>0</v>
      </c>
      <c r="T136" s="17"/>
      <c r="U136" s="629"/>
      <c r="V136" s="630"/>
      <c r="W136" s="630"/>
      <c r="X136" s="631"/>
      <c r="Y136" s="20"/>
      <c r="Z136" s="169"/>
      <c r="AA136" s="19"/>
      <c r="AB136" s="662"/>
      <c r="AC136" s="663"/>
      <c r="AD136" s="663"/>
      <c r="AE136" s="664"/>
      <c r="AF136" s="20"/>
      <c r="AH136" s="115">
        <f t="shared" si="12"/>
        <v>0</v>
      </c>
      <c r="AI136" s="116">
        <f t="shared" si="11"/>
        <v>0</v>
      </c>
      <c r="AJ136" s="599"/>
    </row>
    <row r="137" spans="2:36" ht="15.5" customHeight="1">
      <c r="B137" s="19"/>
      <c r="C137" s="653"/>
      <c r="D137" s="654"/>
      <c r="E137" s="654"/>
      <c r="F137" s="655"/>
      <c r="G137" s="20"/>
      <c r="H137" s="169"/>
      <c r="I137" s="19"/>
      <c r="J137" s="624"/>
      <c r="K137" s="617"/>
      <c r="L137" s="618"/>
      <c r="M137" s="619"/>
      <c r="N137" s="24"/>
      <c r="O137" s="604" t="s">
        <v>50</v>
      </c>
      <c r="P137" s="605"/>
      <c r="Q137" s="605"/>
      <c r="R137" s="606"/>
      <c r="S137" s="44" t="b">
        <v>0</v>
      </c>
      <c r="T137" s="17"/>
      <c r="U137" s="629"/>
      <c r="V137" s="630"/>
      <c r="W137" s="630"/>
      <c r="X137" s="631"/>
      <c r="Y137" s="20"/>
      <c r="Z137" s="169"/>
      <c r="AA137" s="19"/>
      <c r="AB137" s="662"/>
      <c r="AC137" s="663"/>
      <c r="AD137" s="663"/>
      <c r="AE137" s="664"/>
      <c r="AF137" s="20"/>
      <c r="AH137" s="115">
        <f t="shared" si="12"/>
        <v>0</v>
      </c>
      <c r="AI137" s="116">
        <f t="shared" si="11"/>
        <v>0</v>
      </c>
      <c r="AJ137" s="599"/>
    </row>
    <row r="138" spans="2:36" ht="15.5" customHeight="1">
      <c r="B138" s="19"/>
      <c r="C138" s="653"/>
      <c r="D138" s="654"/>
      <c r="E138" s="654"/>
      <c r="F138" s="655"/>
      <c r="G138" s="20"/>
      <c r="H138" s="169"/>
      <c r="I138" s="19"/>
      <c r="J138" s="624"/>
      <c r="K138" s="617"/>
      <c r="L138" s="618"/>
      <c r="M138" s="619"/>
      <c r="N138" s="24"/>
      <c r="O138" s="604" t="s">
        <v>51</v>
      </c>
      <c r="P138" s="605"/>
      <c r="Q138" s="605"/>
      <c r="R138" s="606"/>
      <c r="S138" s="44" t="b">
        <v>0</v>
      </c>
      <c r="T138" s="17"/>
      <c r="U138" s="629"/>
      <c r="V138" s="630"/>
      <c r="W138" s="630"/>
      <c r="X138" s="631"/>
      <c r="Y138" s="20"/>
      <c r="Z138" s="169"/>
      <c r="AA138" s="19"/>
      <c r="AB138" s="662"/>
      <c r="AC138" s="663"/>
      <c r="AD138" s="663"/>
      <c r="AE138" s="664"/>
      <c r="AF138" s="20"/>
      <c r="AH138" s="115">
        <f t="shared" si="12"/>
        <v>0</v>
      </c>
      <c r="AI138" s="116">
        <f t="shared" si="11"/>
        <v>0</v>
      </c>
      <c r="AJ138" s="599"/>
    </row>
    <row r="139" spans="2:36" ht="15.5" customHeight="1">
      <c r="B139" s="19"/>
      <c r="C139" s="653"/>
      <c r="D139" s="654"/>
      <c r="E139" s="654"/>
      <c r="F139" s="655"/>
      <c r="G139" s="20"/>
      <c r="H139" s="169"/>
      <c r="I139" s="19"/>
      <c r="J139" s="624"/>
      <c r="K139" s="617"/>
      <c r="L139" s="618"/>
      <c r="M139" s="619"/>
      <c r="N139" s="24"/>
      <c r="O139" s="604" t="s">
        <v>52</v>
      </c>
      <c r="P139" s="605"/>
      <c r="Q139" s="605"/>
      <c r="R139" s="606"/>
      <c r="S139" s="44" t="b">
        <v>0</v>
      </c>
      <c r="T139" s="17"/>
      <c r="U139" s="629"/>
      <c r="V139" s="630"/>
      <c r="W139" s="630"/>
      <c r="X139" s="631"/>
      <c r="Y139" s="20"/>
      <c r="Z139" s="169"/>
      <c r="AA139" s="19"/>
      <c r="AB139" s="662"/>
      <c r="AC139" s="663"/>
      <c r="AD139" s="663"/>
      <c r="AE139" s="664"/>
      <c r="AF139" s="20"/>
      <c r="AH139" s="115">
        <f t="shared" si="12"/>
        <v>0</v>
      </c>
      <c r="AI139" s="116">
        <f t="shared" si="11"/>
        <v>0</v>
      </c>
      <c r="AJ139" s="599"/>
    </row>
    <row r="140" spans="2:36" ht="15.5" customHeight="1">
      <c r="B140" s="19"/>
      <c r="C140" s="653"/>
      <c r="D140" s="654"/>
      <c r="E140" s="654"/>
      <c r="F140" s="655"/>
      <c r="G140" s="20"/>
      <c r="H140" s="169"/>
      <c r="I140" s="19"/>
      <c r="J140" s="625"/>
      <c r="K140" s="620"/>
      <c r="L140" s="621"/>
      <c r="M140" s="622"/>
      <c r="N140" s="24"/>
      <c r="O140" s="708" t="s">
        <v>717</v>
      </c>
      <c r="P140" s="605"/>
      <c r="Q140" s="605"/>
      <c r="R140" s="709"/>
      <c r="S140" s="184" t="b">
        <v>0</v>
      </c>
      <c r="T140" s="17"/>
      <c r="U140" s="632"/>
      <c r="V140" s="633"/>
      <c r="W140" s="633"/>
      <c r="X140" s="634"/>
      <c r="Y140" s="20"/>
      <c r="Z140" s="169"/>
      <c r="AA140" s="19"/>
      <c r="AB140" s="665"/>
      <c r="AC140" s="666"/>
      <c r="AD140" s="666"/>
      <c r="AE140" s="667"/>
      <c r="AF140" s="20"/>
      <c r="AH140" s="118">
        <f>IF(S140,1,0)</f>
        <v>0</v>
      </c>
      <c r="AI140" s="125"/>
      <c r="AJ140" s="600"/>
    </row>
    <row r="141" spans="2:36" ht="15" customHeight="1" thickBot="1">
      <c r="B141" s="19"/>
      <c r="C141" s="653"/>
      <c r="D141" s="654"/>
      <c r="E141" s="654"/>
      <c r="F141" s="655"/>
      <c r="G141" s="20"/>
      <c r="H141" s="169"/>
      <c r="I141" s="19"/>
      <c r="J141" s="56"/>
      <c r="K141" s="224"/>
      <c r="L141" s="224"/>
      <c r="M141" s="224"/>
      <c r="N141" s="17"/>
      <c r="O141" s="40"/>
      <c r="P141" s="40"/>
      <c r="Q141" s="40"/>
      <c r="R141" s="17"/>
      <c r="S141" s="25"/>
      <c r="T141" s="17"/>
      <c r="U141" s="17"/>
      <c r="V141" s="17"/>
      <c r="W141" s="17"/>
      <c r="X141" s="17"/>
      <c r="Y141" s="20"/>
      <c r="Z141" s="169"/>
      <c r="AA141" s="19"/>
      <c r="AB141" s="45"/>
      <c r="AC141" s="45"/>
      <c r="AD141" s="45"/>
      <c r="AE141" s="45"/>
      <c r="AF141" s="20"/>
      <c r="AH141" s="129">
        <f>SUM(AH124:AH140)</f>
        <v>0</v>
      </c>
      <c r="AI141" s="129">
        <f>SUM(AI124:AI139)</f>
        <v>0</v>
      </c>
      <c r="AJ141" s="129"/>
    </row>
    <row r="142" spans="2:36" ht="19" thickTop="1">
      <c r="B142" s="19"/>
      <c r="C142" s="656"/>
      <c r="D142" s="657"/>
      <c r="E142" s="657"/>
      <c r="F142" s="658"/>
      <c r="G142" s="20"/>
      <c r="H142" s="169"/>
      <c r="I142" s="19"/>
      <c r="J142" s="602" t="s">
        <v>53</v>
      </c>
      <c r="K142" s="602"/>
      <c r="L142" s="602"/>
      <c r="M142" s="602"/>
      <c r="N142" s="602"/>
      <c r="O142" s="602"/>
      <c r="P142" s="603"/>
      <c r="Q142" s="603"/>
      <c r="R142" s="602"/>
      <c r="S142" s="602"/>
      <c r="T142" s="56"/>
      <c r="U142" s="601" t="str">
        <f>ROUND(AJ124+AJ96+AJ45+AJ9, 0) &amp; "/15"</f>
        <v>0/15</v>
      </c>
      <c r="V142" s="601"/>
      <c r="W142" s="601"/>
      <c r="X142" s="601"/>
      <c r="Y142" s="20"/>
      <c r="Z142" s="169"/>
      <c r="AA142" s="19"/>
      <c r="AB142" s="45"/>
      <c r="AC142" s="45"/>
      <c r="AD142" s="45"/>
      <c r="AE142" s="45"/>
      <c r="AF142" s="20"/>
    </row>
    <row r="143" spans="2:36" ht="15" customHeight="1" thickBot="1">
      <c r="B143" s="53"/>
      <c r="C143" s="283"/>
      <c r="D143" s="283"/>
      <c r="E143" s="283"/>
      <c r="F143" s="283"/>
      <c r="G143" s="55"/>
      <c r="H143" s="169"/>
      <c r="I143" s="53"/>
      <c r="J143" s="61"/>
      <c r="K143" s="230"/>
      <c r="L143" s="230"/>
      <c r="M143" s="230"/>
      <c r="N143" s="42"/>
      <c r="O143" s="222"/>
      <c r="P143" s="222"/>
      <c r="Q143" s="222"/>
      <c r="R143" s="42"/>
      <c r="S143" s="54"/>
      <c r="T143" s="42"/>
      <c r="U143" s="42"/>
      <c r="V143" s="42"/>
      <c r="W143" s="42"/>
      <c r="X143" s="42"/>
      <c r="Y143" s="55"/>
      <c r="Z143" s="169"/>
      <c r="AA143" s="53"/>
      <c r="AB143" s="283"/>
      <c r="AC143" s="283"/>
      <c r="AD143" s="283"/>
      <c r="AE143" s="283"/>
      <c r="AF143" s="55"/>
      <c r="AH143" s="102">
        <f>SUM(AH141,AH121,AH93,AH42)</f>
        <v>0</v>
      </c>
      <c r="AI143" s="102">
        <f>SUM(AI141,AI121,AI93,AI42)</f>
        <v>0</v>
      </c>
      <c r="AJ143" s="102">
        <f>SUM(AJ124,AJ96,AJ45,AJ9)</f>
        <v>0</v>
      </c>
    </row>
    <row r="606" spans="34:34" ht="18">
      <c r="AH606" s="102">
        <v>1</v>
      </c>
    </row>
  </sheetData>
  <mergeCells count="157">
    <mergeCell ref="C5:F42"/>
    <mergeCell ref="K9:M23"/>
    <mergeCell ref="J9:J23"/>
    <mergeCell ref="P102:Q102"/>
    <mergeCell ref="P103:Q104"/>
    <mergeCell ref="J52:J56"/>
    <mergeCell ref="K52:M56"/>
    <mergeCell ref="O53:R53"/>
    <mergeCell ref="U52:X56"/>
    <mergeCell ref="J58:J62"/>
    <mergeCell ref="K58:M62"/>
    <mergeCell ref="O31:R31"/>
    <mergeCell ref="O32:R32"/>
    <mergeCell ref="O33:R33"/>
    <mergeCell ref="O34:R34"/>
    <mergeCell ref="O35:R35"/>
    <mergeCell ref="O36:R36"/>
    <mergeCell ref="O37:R37"/>
    <mergeCell ref="O38:R38"/>
    <mergeCell ref="O39:R39"/>
    <mergeCell ref="U58:X62"/>
    <mergeCell ref="O52:R52"/>
    <mergeCell ref="U25:X41"/>
    <mergeCell ref="O91:R91"/>
    <mergeCell ref="AB25:AE41"/>
    <mergeCell ref="AB117:AE120"/>
    <mergeCell ref="AB88:AE93"/>
    <mergeCell ref="AB124:AE128"/>
    <mergeCell ref="O136:R136"/>
    <mergeCell ref="O137:R137"/>
    <mergeCell ref="AB52:AE86"/>
    <mergeCell ref="U64:X68"/>
    <mergeCell ref="O25:R25"/>
    <mergeCell ref="O26:R26"/>
    <mergeCell ref="O27:R27"/>
    <mergeCell ref="O28:R28"/>
    <mergeCell ref="O29:R29"/>
    <mergeCell ref="O30:R30"/>
    <mergeCell ref="O40:R40"/>
    <mergeCell ref="O92:R92"/>
    <mergeCell ref="O88:R88"/>
    <mergeCell ref="O70:R70"/>
    <mergeCell ref="O72:R72"/>
    <mergeCell ref="O76:R76"/>
    <mergeCell ref="O77:R77"/>
    <mergeCell ref="O125:R125"/>
    <mergeCell ref="O126:R126"/>
    <mergeCell ref="O90:R90"/>
    <mergeCell ref="O66:R66"/>
    <mergeCell ref="J88:J92"/>
    <mergeCell ref="K88:M92"/>
    <mergeCell ref="J96:J100"/>
    <mergeCell ref="J106:J110"/>
    <mergeCell ref="O140:R140"/>
    <mergeCell ref="U130:X140"/>
    <mergeCell ref="J64:J68"/>
    <mergeCell ref="K64:M68"/>
    <mergeCell ref="J70:J74"/>
    <mergeCell ref="K70:M74"/>
    <mergeCell ref="J76:J80"/>
    <mergeCell ref="K76:M80"/>
    <mergeCell ref="J82:J86"/>
    <mergeCell ref="K82:M86"/>
    <mergeCell ref="U70:X74"/>
    <mergeCell ref="U76:X80"/>
    <mergeCell ref="U82:X86"/>
    <mergeCell ref="K117:M120"/>
    <mergeCell ref="O117:X120"/>
    <mergeCell ref="R103:S104"/>
    <mergeCell ref="R102:S102"/>
    <mergeCell ref="O133:R133"/>
    <mergeCell ref="U88:X92"/>
    <mergeCell ref="C122:F142"/>
    <mergeCell ref="J130:J140"/>
    <mergeCell ref="K130:M140"/>
    <mergeCell ref="J112:J115"/>
    <mergeCell ref="K112:M115"/>
    <mergeCell ref="O112:R112"/>
    <mergeCell ref="AO7:AO8"/>
    <mergeCell ref="I2:Y3"/>
    <mergeCell ref="O60:R60"/>
    <mergeCell ref="O22:R22"/>
    <mergeCell ref="J25:J41"/>
    <mergeCell ref="K25:M41"/>
    <mergeCell ref="O41:R41"/>
    <mergeCell ref="O23:R23"/>
    <mergeCell ref="AJ45:AJ92"/>
    <mergeCell ref="AJ96:AJ120"/>
    <mergeCell ref="O138:R138"/>
    <mergeCell ref="O139:R139"/>
    <mergeCell ref="K96:M100"/>
    <mergeCell ref="R24:S24"/>
    <mergeCell ref="K50:S50"/>
    <mergeCell ref="O45:R45"/>
    <mergeCell ref="O46:R46"/>
    <mergeCell ref="O47:R47"/>
    <mergeCell ref="O135:R135"/>
    <mergeCell ref="AB96:AE115"/>
    <mergeCell ref="J102:M104"/>
    <mergeCell ref="O103:O104"/>
    <mergeCell ref="U102:X104"/>
    <mergeCell ref="O124:R124"/>
    <mergeCell ref="O130:R130"/>
    <mergeCell ref="O131:R131"/>
    <mergeCell ref="O132:R132"/>
    <mergeCell ref="U112:X115"/>
    <mergeCell ref="O113:R113"/>
    <mergeCell ref="O127:R127"/>
    <mergeCell ref="AB130:AE140"/>
    <mergeCell ref="B2:G3"/>
    <mergeCell ref="C45:F92"/>
    <mergeCell ref="C96:F120"/>
    <mergeCell ref="AB45:AE48"/>
    <mergeCell ref="O64:R64"/>
    <mergeCell ref="O65:R65"/>
    <mergeCell ref="J5:X5"/>
    <mergeCell ref="U96:X100"/>
    <mergeCell ref="O83:R83"/>
    <mergeCell ref="O84:R84"/>
    <mergeCell ref="O71:R71"/>
    <mergeCell ref="O54:R54"/>
    <mergeCell ref="J45:J48"/>
    <mergeCell ref="K45:M48"/>
    <mergeCell ref="O48:R48"/>
    <mergeCell ref="U45:X48"/>
    <mergeCell ref="AA2:AF3"/>
    <mergeCell ref="O114:R114"/>
    <mergeCell ref="O115:R115"/>
    <mergeCell ref="J117:J120"/>
    <mergeCell ref="AB9:AE23"/>
    <mergeCell ref="U9:X23"/>
    <mergeCell ref="O58:R58"/>
    <mergeCell ref="O59:R59"/>
    <mergeCell ref="AJ9:AJ41"/>
    <mergeCell ref="AJ124:AJ140"/>
    <mergeCell ref="U142:X142"/>
    <mergeCell ref="J142:S142"/>
    <mergeCell ref="O134:R134"/>
    <mergeCell ref="O89:R89"/>
    <mergeCell ref="O78:R78"/>
    <mergeCell ref="O82:R82"/>
    <mergeCell ref="O96:R96"/>
    <mergeCell ref="O97:R97"/>
    <mergeCell ref="O98:R98"/>
    <mergeCell ref="O99:R99"/>
    <mergeCell ref="O100:R100"/>
    <mergeCell ref="K106:M110"/>
    <mergeCell ref="O106:R106"/>
    <mergeCell ref="U106:X110"/>
    <mergeCell ref="O107:R107"/>
    <mergeCell ref="O108:R108"/>
    <mergeCell ref="O109:R109"/>
    <mergeCell ref="O110:R110"/>
    <mergeCell ref="K124:M128"/>
    <mergeCell ref="J124:J128"/>
    <mergeCell ref="O128:R128"/>
    <mergeCell ref="U124:X128"/>
  </mergeCells>
  <conditionalFormatting sqref="O103:P103 O104">
    <cfRule type="expression" dxfId="633" priority="57">
      <formula>ISNUMBER($O$103)</formula>
    </cfRule>
  </conditionalFormatting>
  <conditionalFormatting sqref="O23:Q23 S23">
    <cfRule type="expression" dxfId="632" priority="563">
      <formula>$S$22</formula>
    </cfRule>
  </conditionalFormatting>
  <conditionalFormatting sqref="O23:Q23">
    <cfRule type="expression" dxfId="631" priority="562">
      <formula>$S$23</formula>
    </cfRule>
  </conditionalFormatting>
  <conditionalFormatting sqref="O25:Q25">
    <cfRule type="expression" dxfId="630" priority="300">
      <formula>$S$25</formula>
    </cfRule>
  </conditionalFormatting>
  <conditionalFormatting sqref="O25:Q39 S25:S39 O40:S40">
    <cfRule type="expression" dxfId="629" priority="96">
      <formula>$S$41</formula>
    </cfRule>
  </conditionalFormatting>
  <conditionalFormatting sqref="O26:Q26">
    <cfRule type="expression" dxfId="628" priority="299">
      <formula>$S$26</formula>
    </cfRule>
  </conditionalFormatting>
  <conditionalFormatting sqref="O27:Q27">
    <cfRule type="expression" dxfId="627" priority="298">
      <formula>$S$27</formula>
    </cfRule>
  </conditionalFormatting>
  <conditionalFormatting sqref="O28:Q28">
    <cfRule type="expression" dxfId="626" priority="297">
      <formula>$S$28</formula>
    </cfRule>
  </conditionalFormatting>
  <conditionalFormatting sqref="O29:Q29">
    <cfRule type="expression" dxfId="625" priority="248">
      <formula>$S$29</formula>
    </cfRule>
  </conditionalFormatting>
  <conditionalFormatting sqref="O30:Q30">
    <cfRule type="expression" dxfId="624" priority="247">
      <formula>$S$30</formula>
    </cfRule>
  </conditionalFormatting>
  <conditionalFormatting sqref="O31:Q31">
    <cfRule type="expression" dxfId="623" priority="246">
      <formula>$S$31</formula>
    </cfRule>
  </conditionalFormatting>
  <conditionalFormatting sqref="O32:Q32">
    <cfRule type="expression" dxfId="622" priority="245">
      <formula>$S$32</formula>
    </cfRule>
  </conditionalFormatting>
  <conditionalFormatting sqref="O33:Q33">
    <cfRule type="expression" dxfId="621" priority="244">
      <formula>$S$33</formula>
    </cfRule>
  </conditionalFormatting>
  <conditionalFormatting sqref="O34:Q34">
    <cfRule type="expression" dxfId="620" priority="243">
      <formula>$S$34</formula>
    </cfRule>
  </conditionalFormatting>
  <conditionalFormatting sqref="O35:Q35">
    <cfRule type="expression" dxfId="619" priority="242">
      <formula>$S$35</formula>
    </cfRule>
  </conditionalFormatting>
  <conditionalFormatting sqref="O36:Q36">
    <cfRule type="expression" dxfId="618" priority="241">
      <formula>$S$36</formula>
    </cfRule>
  </conditionalFormatting>
  <conditionalFormatting sqref="O37:Q37">
    <cfRule type="expression" dxfId="617" priority="240">
      <formula>$S$37</formula>
    </cfRule>
  </conditionalFormatting>
  <conditionalFormatting sqref="O38:Q38">
    <cfRule type="expression" dxfId="616" priority="239">
      <formula>$S$38</formula>
    </cfRule>
  </conditionalFormatting>
  <conditionalFormatting sqref="O39:Q39">
    <cfRule type="expression" dxfId="615" priority="238">
      <formula>$S$39</formula>
    </cfRule>
  </conditionalFormatting>
  <conditionalFormatting sqref="O40:Q41">
    <cfRule type="expression" dxfId="614" priority="103">
      <formula>$S$40</formula>
    </cfRule>
  </conditionalFormatting>
  <conditionalFormatting sqref="O88:Q88 O90:Q92 S90:S92">
    <cfRule type="expression" dxfId="613" priority="232">
      <formula>$S$89</formula>
    </cfRule>
  </conditionalFormatting>
  <conditionalFormatting sqref="O88:Q89 O91:Q92 S91:S92">
    <cfRule type="expression" dxfId="612" priority="231">
      <formula>$S$90</formula>
    </cfRule>
  </conditionalFormatting>
  <conditionalFormatting sqref="O88:Q90 O92:Q92 S92">
    <cfRule type="expression" dxfId="611" priority="230">
      <formula>$S$91</formula>
    </cfRule>
  </conditionalFormatting>
  <conditionalFormatting sqref="O88:Q91 S88:S91">
    <cfRule type="expression" dxfId="610" priority="229">
      <formula>$S$92</formula>
    </cfRule>
  </conditionalFormatting>
  <conditionalFormatting sqref="O89:Q92 S89:S92">
    <cfRule type="expression" dxfId="609" priority="233">
      <formula>$S$88</formula>
    </cfRule>
  </conditionalFormatting>
  <conditionalFormatting sqref="O124:Q124 S124 O126:Q128 S126:S128">
    <cfRule type="expression" dxfId="608" priority="118">
      <formula>$S$125</formula>
    </cfRule>
  </conditionalFormatting>
  <conditionalFormatting sqref="O124:Q125 S124:S125 O127:Q128 S127:S128">
    <cfRule type="expression" dxfId="607" priority="117">
      <formula>$S$126</formula>
    </cfRule>
  </conditionalFormatting>
  <conditionalFormatting sqref="O124:Q126 S124:S126 O128:Q128 S128">
    <cfRule type="expression" dxfId="606" priority="116">
      <formula>$S$127</formula>
    </cfRule>
  </conditionalFormatting>
  <conditionalFormatting sqref="O124:Q127 S124:S127">
    <cfRule type="expression" dxfId="605" priority="115">
      <formula>$S$128</formula>
    </cfRule>
  </conditionalFormatting>
  <conditionalFormatting sqref="O125:Q128 S125:S128">
    <cfRule type="expression" dxfId="604" priority="119">
      <formula>$S$124</formula>
    </cfRule>
  </conditionalFormatting>
  <conditionalFormatting sqref="O22:R22">
    <cfRule type="expression" dxfId="603" priority="97">
      <formula>$S$22</formula>
    </cfRule>
  </conditionalFormatting>
  <conditionalFormatting sqref="O41:R41">
    <cfRule type="expression" dxfId="602" priority="95">
      <formula>$S$41</formula>
    </cfRule>
  </conditionalFormatting>
  <conditionalFormatting sqref="O96:R96">
    <cfRule type="expression" dxfId="601" priority="132">
      <formula>$S$97</formula>
    </cfRule>
  </conditionalFormatting>
  <conditionalFormatting sqref="O96:R97">
    <cfRule type="expression" dxfId="600" priority="131">
      <formula>$S$98</formula>
    </cfRule>
  </conditionalFormatting>
  <conditionalFormatting sqref="O96:R98">
    <cfRule type="expression" dxfId="599" priority="130">
      <formula>$S$99</formula>
    </cfRule>
  </conditionalFormatting>
  <conditionalFormatting sqref="O96:R99">
    <cfRule type="expression" dxfId="598" priority="129">
      <formula>$S$100</formula>
    </cfRule>
  </conditionalFormatting>
  <conditionalFormatting sqref="O97:R100">
    <cfRule type="expression" dxfId="597" priority="133">
      <formula>$S$96</formula>
    </cfRule>
  </conditionalFormatting>
  <conditionalFormatting sqref="O98:R100">
    <cfRule type="expression" dxfId="596" priority="139">
      <formula>$S$97</formula>
    </cfRule>
  </conditionalFormatting>
  <conditionalFormatting sqref="O99:R100">
    <cfRule type="expression" dxfId="595" priority="138">
      <formula>$S$98</formula>
    </cfRule>
  </conditionalFormatting>
  <conditionalFormatting sqref="O100:R100">
    <cfRule type="expression" dxfId="594" priority="137">
      <formula>$S$99</formula>
    </cfRule>
  </conditionalFormatting>
  <conditionalFormatting sqref="O106:R106 O108:R110">
    <cfRule type="expression" dxfId="593" priority="127">
      <formula>$S$107</formula>
    </cfRule>
  </conditionalFormatting>
  <conditionalFormatting sqref="O106:R107 O109:R110">
    <cfRule type="expression" dxfId="592" priority="126">
      <formula>$S$108</formula>
    </cfRule>
  </conditionalFormatting>
  <conditionalFormatting sqref="O106:R108 O110:R110">
    <cfRule type="expression" dxfId="591" priority="125">
      <formula>$S$109</formula>
    </cfRule>
  </conditionalFormatting>
  <conditionalFormatting sqref="O106:R109">
    <cfRule type="expression" dxfId="590" priority="124">
      <formula>$S$110</formula>
    </cfRule>
  </conditionalFormatting>
  <conditionalFormatting sqref="O107:R110">
    <cfRule type="expression" dxfId="589" priority="128">
      <formula>$S$106</formula>
    </cfRule>
  </conditionalFormatting>
  <conditionalFormatting sqref="O112:R112 O114:R115">
    <cfRule type="expression" dxfId="588" priority="122">
      <formula>$S$113</formula>
    </cfRule>
  </conditionalFormatting>
  <conditionalFormatting sqref="O112:R113 O115:R115">
    <cfRule type="expression" dxfId="587" priority="121">
      <formula>$S$114</formula>
    </cfRule>
  </conditionalFormatting>
  <conditionalFormatting sqref="O112:R114">
    <cfRule type="expression" dxfId="586" priority="120">
      <formula>$S$115</formula>
    </cfRule>
  </conditionalFormatting>
  <conditionalFormatting sqref="O113:R115">
    <cfRule type="expression" dxfId="585" priority="123">
      <formula>$S$112</formula>
    </cfRule>
  </conditionalFormatting>
  <conditionalFormatting sqref="O130:R130">
    <cfRule type="expression" dxfId="584" priority="259">
      <formula>$S$130</formula>
    </cfRule>
  </conditionalFormatting>
  <conditionalFormatting sqref="O131:R131">
    <cfRule type="expression" dxfId="583" priority="258">
      <formula>$S$131</formula>
    </cfRule>
  </conditionalFormatting>
  <conditionalFormatting sqref="O132:R132">
    <cfRule type="expression" dxfId="582" priority="257">
      <formula>$S$132</formula>
    </cfRule>
  </conditionalFormatting>
  <conditionalFormatting sqref="O133:R133">
    <cfRule type="expression" dxfId="581" priority="256">
      <formula>$S$133</formula>
    </cfRule>
  </conditionalFormatting>
  <conditionalFormatting sqref="O134:R134">
    <cfRule type="expression" dxfId="580" priority="255">
      <formula>$S$134</formula>
    </cfRule>
  </conditionalFormatting>
  <conditionalFormatting sqref="O135:R135">
    <cfRule type="expression" dxfId="579" priority="253">
      <formula>$S$135</formula>
    </cfRule>
  </conditionalFormatting>
  <conditionalFormatting sqref="O136:R136">
    <cfRule type="expression" dxfId="578" priority="252">
      <formula>$S$136</formula>
    </cfRule>
  </conditionalFormatting>
  <conditionalFormatting sqref="O137:R137">
    <cfRule type="expression" dxfId="577" priority="251">
      <formula>$S$137</formula>
    </cfRule>
  </conditionalFormatting>
  <conditionalFormatting sqref="O138:R138">
    <cfRule type="expression" dxfId="576" priority="250">
      <formula>$S$138</formula>
    </cfRule>
  </conditionalFormatting>
  <conditionalFormatting sqref="O139:R139">
    <cfRule type="expression" dxfId="575" priority="64">
      <formula>$S$139</formula>
    </cfRule>
  </conditionalFormatting>
  <conditionalFormatting sqref="O140:R140">
    <cfRule type="expression" dxfId="574" priority="66">
      <formula>$S$140</formula>
    </cfRule>
  </conditionalFormatting>
  <conditionalFormatting sqref="O9:S21">
    <cfRule type="expression" dxfId="573" priority="48">
      <formula>$S$22</formula>
    </cfRule>
  </conditionalFormatting>
  <conditionalFormatting sqref="O45:S45 O47:S48">
    <cfRule type="expression" dxfId="572" priority="236">
      <formula>$S$46</formula>
    </cfRule>
  </conditionalFormatting>
  <conditionalFormatting sqref="O45:S46 O48:S48">
    <cfRule type="expression" dxfId="571" priority="235">
      <formula>$S$47</formula>
    </cfRule>
  </conditionalFormatting>
  <conditionalFormatting sqref="O45:S47">
    <cfRule type="expression" dxfId="570" priority="234">
      <formula>$S$48</formula>
    </cfRule>
  </conditionalFormatting>
  <conditionalFormatting sqref="O46:S48">
    <cfRule type="expression" dxfId="569" priority="237">
      <formula>$S$45</formula>
    </cfRule>
  </conditionalFormatting>
  <conditionalFormatting sqref="O52:S52 O54:S56">
    <cfRule type="expression" dxfId="568" priority="30">
      <formula>$S$53</formula>
    </cfRule>
  </conditionalFormatting>
  <conditionalFormatting sqref="O52:S53 O55:S56">
    <cfRule type="expression" dxfId="567" priority="29">
      <formula>$S$54</formula>
    </cfRule>
  </conditionalFormatting>
  <conditionalFormatting sqref="O52:S54 O56:T56">
    <cfRule type="expression" dxfId="566" priority="28">
      <formula>$S$55</formula>
    </cfRule>
  </conditionalFormatting>
  <conditionalFormatting sqref="O52:S55">
    <cfRule type="expression" dxfId="565" priority="27">
      <formula>$S$56</formula>
    </cfRule>
  </conditionalFormatting>
  <conditionalFormatting sqref="O53:S56">
    <cfRule type="expression" dxfId="564" priority="31">
      <formula>$S$52</formula>
    </cfRule>
  </conditionalFormatting>
  <conditionalFormatting sqref="O58:S58 O60:S62">
    <cfRule type="expression" dxfId="563" priority="25">
      <formula>$S$59</formula>
    </cfRule>
  </conditionalFormatting>
  <conditionalFormatting sqref="O58:S59 O61:S62">
    <cfRule type="expression" dxfId="562" priority="24">
      <formula>$S$60</formula>
    </cfRule>
  </conditionalFormatting>
  <conditionalFormatting sqref="O58:S60 O62:S62">
    <cfRule type="expression" dxfId="561" priority="23">
      <formula>$S$61</formula>
    </cfRule>
  </conditionalFormatting>
  <conditionalFormatting sqref="O58:S61">
    <cfRule type="expression" dxfId="560" priority="22">
      <formula>$S$62</formula>
    </cfRule>
  </conditionalFormatting>
  <conditionalFormatting sqref="O59:S62">
    <cfRule type="expression" dxfId="559" priority="26">
      <formula>$S$58</formula>
    </cfRule>
  </conditionalFormatting>
  <conditionalFormatting sqref="O64:S64 O66:S68">
    <cfRule type="expression" dxfId="558" priority="20">
      <formula>$S$65</formula>
    </cfRule>
  </conditionalFormatting>
  <conditionalFormatting sqref="O64:S65 O67:S68">
    <cfRule type="expression" dxfId="557" priority="19">
      <formula>$S$66</formula>
    </cfRule>
  </conditionalFormatting>
  <conditionalFormatting sqref="O64:S66 O68:S68">
    <cfRule type="expression" dxfId="556" priority="18">
      <formula>$S$67</formula>
    </cfRule>
  </conditionalFormatting>
  <conditionalFormatting sqref="O64:S67">
    <cfRule type="expression" dxfId="555" priority="17">
      <formula>$S$68</formula>
    </cfRule>
  </conditionalFormatting>
  <conditionalFormatting sqref="O65:S68">
    <cfRule type="expression" dxfId="554" priority="21">
      <formula>$S$64</formula>
    </cfRule>
  </conditionalFormatting>
  <conditionalFormatting sqref="O70:S70 O72:S74">
    <cfRule type="expression" dxfId="553" priority="15">
      <formula>$S$71</formula>
    </cfRule>
  </conditionalFormatting>
  <conditionalFormatting sqref="O70:S71 O73:S74">
    <cfRule type="expression" dxfId="552" priority="14">
      <formula>$S$72</formula>
    </cfRule>
  </conditionalFormatting>
  <conditionalFormatting sqref="O70:S72 O74:S74">
    <cfRule type="expression" dxfId="551" priority="13">
      <formula>$S$73</formula>
    </cfRule>
  </conditionalFormatting>
  <conditionalFormatting sqref="O70:S73">
    <cfRule type="expression" dxfId="550" priority="12">
      <formula>$S$74</formula>
    </cfRule>
  </conditionalFormatting>
  <conditionalFormatting sqref="O71:S74">
    <cfRule type="expression" dxfId="549" priority="16">
      <formula>$S$70</formula>
    </cfRule>
  </conditionalFormatting>
  <conditionalFormatting sqref="O76:S76 O78:S80">
    <cfRule type="expression" dxfId="548" priority="10">
      <formula>$S$77</formula>
    </cfRule>
  </conditionalFormatting>
  <conditionalFormatting sqref="O76:S77 O79:S80">
    <cfRule type="expression" dxfId="547" priority="9">
      <formula>$S$78</formula>
    </cfRule>
  </conditionalFormatting>
  <conditionalFormatting sqref="O76:S78 O80:S80">
    <cfRule type="expression" dxfId="546" priority="8">
      <formula>$S$79</formula>
    </cfRule>
  </conditionalFormatting>
  <conditionalFormatting sqref="O76:S79">
    <cfRule type="expression" dxfId="545" priority="7">
      <formula>$S$80</formula>
    </cfRule>
  </conditionalFormatting>
  <conditionalFormatting sqref="O77:S80">
    <cfRule type="expression" dxfId="544" priority="11">
      <formula>$S$76</formula>
    </cfRule>
  </conditionalFormatting>
  <conditionalFormatting sqref="O82:S82 O84:S86">
    <cfRule type="expression" dxfId="543" priority="5">
      <formula>$S$83</formula>
    </cfRule>
  </conditionalFormatting>
  <conditionalFormatting sqref="O82:S83 O85:S86">
    <cfRule type="expression" dxfId="542" priority="4">
      <formula>$S$84</formula>
    </cfRule>
  </conditionalFormatting>
  <conditionalFormatting sqref="O82:S84 O86:S86">
    <cfRule type="expression" dxfId="541" priority="3">
      <formula>$S$85</formula>
    </cfRule>
  </conditionalFormatting>
  <conditionalFormatting sqref="O82:S85">
    <cfRule type="expression" dxfId="540" priority="2">
      <formula>$S$86</formula>
    </cfRule>
  </conditionalFormatting>
  <conditionalFormatting sqref="O83:S86">
    <cfRule type="expression" dxfId="539" priority="6">
      <formula>$S$82</formula>
    </cfRule>
  </conditionalFormatting>
  <conditionalFormatting sqref="O130:S139">
    <cfRule type="expression" dxfId="538" priority="65">
      <formula>$S$140</formula>
    </cfRule>
  </conditionalFormatting>
  <conditionalFormatting sqref="P103">
    <cfRule type="expression" dxfId="537" priority="56">
      <formula>ISNUMBER($P$103)</formula>
    </cfRule>
  </conditionalFormatting>
  <conditionalFormatting sqref="R103">
    <cfRule type="expression" dxfId="536" priority="55">
      <formula>ISNUMBER($R$103)</formula>
    </cfRule>
  </conditionalFormatting>
  <conditionalFormatting sqref="S88">
    <cfRule type="expression" dxfId="535" priority="147">
      <formula>$S$89</formula>
    </cfRule>
  </conditionalFormatting>
  <conditionalFormatting sqref="S88:S89">
    <cfRule type="expression" dxfId="534" priority="146">
      <formula>$S$90</formula>
    </cfRule>
  </conditionalFormatting>
  <conditionalFormatting sqref="S88:S90">
    <cfRule type="expression" dxfId="533" priority="145">
      <formula>$S$91</formula>
    </cfRule>
  </conditionalFormatting>
  <conditionalFormatting sqref="U9">
    <cfRule type="expression" dxfId="532" priority="565">
      <formula>$S$23</formula>
    </cfRule>
  </conditionalFormatting>
  <conditionalFormatting sqref="AB9">
    <cfRule type="expression" dxfId="531" priority="567">
      <formula>$S$22</formula>
    </cfRule>
  </conditionalFormatting>
  <conditionalFormatting sqref="AB88">
    <cfRule type="expression" dxfId="530" priority="100">
      <formula>$S$92</formula>
    </cfRule>
  </conditionalFormatting>
  <conditionalFormatting sqref="AB25:AE41">
    <cfRule type="expression" dxfId="529" priority="94">
      <formula>$S$41</formula>
    </cfRule>
  </conditionalFormatting>
  <conditionalFormatting sqref="AB45:AE48">
    <cfRule type="expression" dxfId="528" priority="102">
      <formula>$S$48</formula>
    </cfRule>
  </conditionalFormatting>
  <conditionalFormatting sqref="AB52:AE86">
    <cfRule type="expression" dxfId="527" priority="38">
      <formula>$S$68</formula>
    </cfRule>
    <cfRule type="expression" dxfId="526" priority="32">
      <formula>$S$80</formula>
    </cfRule>
    <cfRule type="expression" dxfId="525" priority="33">
      <formula>$S$78</formula>
    </cfRule>
    <cfRule type="expression" dxfId="524" priority="34">
      <formula>$S$86</formula>
    </cfRule>
    <cfRule type="expression" dxfId="523" priority="35">
      <formula>$S$84</formula>
    </cfRule>
    <cfRule type="expression" dxfId="522" priority="36">
      <formula>$S$74</formula>
    </cfRule>
    <cfRule type="expression" dxfId="521" priority="37">
      <formula>$S$72</formula>
    </cfRule>
    <cfRule type="expression" dxfId="520" priority="44">
      <formula>$S$54</formula>
    </cfRule>
    <cfRule type="expression" dxfId="519" priority="42">
      <formula>$S$56</formula>
    </cfRule>
    <cfRule type="expression" dxfId="518" priority="41">
      <formula>$S$60</formula>
    </cfRule>
    <cfRule type="expression" dxfId="517" priority="40">
      <formula>$S$62</formula>
    </cfRule>
    <cfRule type="expression" dxfId="516" priority="39">
      <formula>$S$66</formula>
    </cfRule>
  </conditionalFormatting>
  <conditionalFormatting sqref="AB88:AE93">
    <cfRule type="expression" dxfId="515" priority="72">
      <formula>$S$89</formula>
    </cfRule>
    <cfRule type="expression" dxfId="514" priority="73">
      <formula>$S$90</formula>
    </cfRule>
    <cfRule type="expression" dxfId="513" priority="74">
      <formula>$S$91</formula>
    </cfRule>
  </conditionalFormatting>
  <conditionalFormatting sqref="AB96:AE115">
    <cfRule type="expression" dxfId="512" priority="52">
      <formula>$S$109</formula>
    </cfRule>
    <cfRule type="expression" dxfId="511" priority="49">
      <formula>$S$115</formula>
    </cfRule>
    <cfRule type="expression" dxfId="510" priority="50">
      <formula>$S$114</formula>
    </cfRule>
    <cfRule type="expression" dxfId="509" priority="51">
      <formula>$S$110</formula>
    </cfRule>
    <cfRule type="expression" dxfId="508" priority="53">
      <formula>$S$99</formula>
    </cfRule>
    <cfRule type="expression" dxfId="507" priority="54">
      <formula>$S$100</formula>
    </cfRule>
  </conditionalFormatting>
  <conditionalFormatting sqref="AB124:AE128">
    <cfRule type="expression" dxfId="506" priority="71">
      <formula>$S$128</formula>
    </cfRule>
    <cfRule type="expression" dxfId="505" priority="68">
      <formula>$S$125</formula>
    </cfRule>
    <cfRule type="expression" dxfId="504" priority="69">
      <formula>$S$126</formula>
    </cfRule>
    <cfRule type="expression" dxfId="503" priority="70">
      <formula>$S$127</formula>
    </cfRule>
  </conditionalFormatting>
  <conditionalFormatting sqref="AB130:AE140">
    <cfRule type="expression" dxfId="502" priority="67">
      <formula>$S$140</formula>
    </cfRule>
  </conditionalFormatting>
  <dataValidations count="1">
    <dataValidation type="list" allowBlank="1" showInputMessage="1" showErrorMessage="1" sqref="O24:S24" xr:uid="{817573A2-A287-4860-B914-2D21F1010FBA}">
      <formula1>Internal_stakeholders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DA53-FC76-424C-9A42-B3D3AB78868B}">
  <sheetPr codeName="Sheet7">
    <tabColor theme="6" tint="0.39997558519241921"/>
  </sheetPr>
  <dimension ref="B1:AL86"/>
  <sheetViews>
    <sheetView showGridLines="0" topLeftCell="A39" zoomScale="58" zoomScaleNormal="130" workbookViewId="0">
      <selection activeCell="O56" sqref="O56"/>
    </sheetView>
  </sheetViews>
  <sheetFormatPr baseColWidth="10" defaultColWidth="8.6640625" defaultRowHeight="18"/>
  <cols>
    <col min="1" max="1" width="3.33203125" style="91" customWidth="1"/>
    <col min="2" max="2" width="3.1640625" style="95" customWidth="1"/>
    <col min="3" max="6" width="10.6640625" style="95" customWidth="1"/>
    <col min="7" max="8" width="3.1640625" style="95" customWidth="1"/>
    <col min="9" max="9" width="3.83203125" style="91" customWidth="1"/>
    <col min="10" max="10" width="9.1640625" style="130" customWidth="1"/>
    <col min="11" max="13" width="14.1640625" style="234" customWidth="1"/>
    <col min="14" max="14" width="3" style="91" customWidth="1"/>
    <col min="15" max="15" width="77.33203125" style="91" customWidth="1"/>
    <col min="16" max="16" width="5.33203125" style="131" customWidth="1"/>
    <col min="17" max="17" width="3.33203125" style="91" customWidth="1"/>
    <col min="18" max="21" width="8.6640625" style="91"/>
    <col min="22" max="22" width="3.1640625" style="91" customWidth="1"/>
    <col min="23" max="24" width="3.1640625" style="95" customWidth="1"/>
    <col min="25" max="28" width="15.83203125" style="101" customWidth="1"/>
    <col min="29" max="29" width="3.1640625" style="95" customWidth="1"/>
    <col min="30" max="30" width="8.83203125" style="95" customWidth="1"/>
    <col min="31" max="31" width="17.6640625" style="102" bestFit="1" customWidth="1"/>
    <col min="32" max="32" width="17.33203125" style="102" bestFit="1" customWidth="1"/>
    <col min="33" max="33" width="20.1640625" style="104" bestFit="1" customWidth="1"/>
    <col min="34" max="34" width="8.6640625" style="103" customWidth="1"/>
    <col min="35" max="35" width="8.33203125" style="102" bestFit="1" customWidth="1"/>
    <col min="36" max="36" width="16.5" style="102" bestFit="1" customWidth="1"/>
    <col min="37" max="37" width="13.6640625" style="97" bestFit="1" customWidth="1"/>
    <col min="38" max="38" width="12.83203125" style="97" customWidth="1"/>
    <col min="39" max="16384" width="8.6640625" style="91"/>
  </cols>
  <sheetData>
    <row r="1" spans="2:38" ht="19" thickBot="1"/>
    <row r="2" spans="2:38" ht="16" customHeight="1">
      <c r="B2" s="635" t="s">
        <v>81</v>
      </c>
      <c r="C2" s="636"/>
      <c r="D2" s="636"/>
      <c r="E2" s="636"/>
      <c r="F2" s="636"/>
      <c r="G2" s="637"/>
      <c r="H2" s="169"/>
      <c r="I2" s="635" t="s">
        <v>54</v>
      </c>
      <c r="J2" s="636"/>
      <c r="K2" s="636"/>
      <c r="L2" s="636"/>
      <c r="M2" s="636"/>
      <c r="N2" s="636"/>
      <c r="O2" s="636"/>
      <c r="P2" s="636"/>
      <c r="Q2" s="636"/>
      <c r="R2" s="636"/>
      <c r="S2" s="636"/>
      <c r="T2" s="636"/>
      <c r="U2" s="636"/>
      <c r="V2" s="637"/>
      <c r="W2" s="169"/>
      <c r="X2" s="635" t="s">
        <v>454</v>
      </c>
      <c r="Y2" s="636"/>
      <c r="Z2" s="636"/>
      <c r="AA2" s="636"/>
      <c r="AB2" s="636"/>
      <c r="AC2" s="637"/>
      <c r="AD2" s="98"/>
    </row>
    <row r="3" spans="2:38" ht="16" customHeight="1" thickBot="1">
      <c r="B3" s="638"/>
      <c r="C3" s="639"/>
      <c r="D3" s="639"/>
      <c r="E3" s="639"/>
      <c r="F3" s="639"/>
      <c r="G3" s="640"/>
      <c r="H3" s="169"/>
      <c r="I3" s="638"/>
      <c r="J3" s="639"/>
      <c r="K3" s="639"/>
      <c r="L3" s="639"/>
      <c r="M3" s="639"/>
      <c r="N3" s="639"/>
      <c r="O3" s="639"/>
      <c r="P3" s="639"/>
      <c r="Q3" s="639"/>
      <c r="R3" s="639"/>
      <c r="S3" s="639"/>
      <c r="T3" s="639"/>
      <c r="U3" s="639"/>
      <c r="V3" s="640"/>
      <c r="W3" s="169"/>
      <c r="X3" s="638"/>
      <c r="Y3" s="639"/>
      <c r="Z3" s="639"/>
      <c r="AA3" s="639"/>
      <c r="AB3" s="639"/>
      <c r="AC3" s="640"/>
      <c r="AD3" s="98"/>
    </row>
    <row r="4" spans="2:38">
      <c r="B4" s="19"/>
      <c r="C4" s="17"/>
      <c r="D4" s="17"/>
      <c r="E4" s="17"/>
      <c r="F4" s="17"/>
      <c r="G4" s="20"/>
      <c r="H4" s="169"/>
      <c r="I4" s="19"/>
      <c r="J4" s="56"/>
      <c r="K4" s="180"/>
      <c r="L4" s="180"/>
      <c r="M4" s="180"/>
      <c r="N4" s="17"/>
      <c r="O4" s="17"/>
      <c r="P4" s="25"/>
      <c r="Q4" s="17"/>
      <c r="R4" s="17"/>
      <c r="S4" s="17"/>
      <c r="T4" s="17"/>
      <c r="U4" s="17"/>
      <c r="V4" s="20"/>
      <c r="W4" s="169"/>
      <c r="X4" s="19"/>
      <c r="Y4" s="40"/>
      <c r="Z4" s="40"/>
      <c r="AA4" s="40"/>
      <c r="AB4" s="40"/>
      <c r="AC4" s="20"/>
    </row>
    <row r="5" spans="2:38">
      <c r="B5" s="19"/>
      <c r="C5" s="677" t="s">
        <v>718</v>
      </c>
      <c r="D5" s="678"/>
      <c r="E5" s="678"/>
      <c r="F5" s="679"/>
      <c r="G5" s="20"/>
      <c r="H5" s="169"/>
      <c r="I5" s="19"/>
      <c r="J5" s="28" t="s">
        <v>16</v>
      </c>
      <c r="K5" s="239" t="s">
        <v>55</v>
      </c>
      <c r="L5" s="180"/>
      <c r="M5" s="180"/>
      <c r="N5" s="17"/>
      <c r="O5" s="17"/>
      <c r="P5" s="25"/>
      <c r="Q5" s="17"/>
      <c r="R5" s="17"/>
      <c r="S5" s="17"/>
      <c r="T5" s="17"/>
      <c r="U5" s="17"/>
      <c r="V5" s="20"/>
      <c r="W5" s="169"/>
      <c r="X5" s="19"/>
      <c r="Y5" s="40"/>
      <c r="Z5" s="40"/>
      <c r="AA5" s="40"/>
      <c r="AB5" s="40"/>
      <c r="AC5" s="20"/>
      <c r="AE5" s="185" t="s">
        <v>440</v>
      </c>
      <c r="AF5" s="186" t="s">
        <v>17</v>
      </c>
      <c r="AG5" s="198" t="s">
        <v>502</v>
      </c>
      <c r="AI5" s="109" t="s">
        <v>434</v>
      </c>
      <c r="AJ5" s="109" t="s">
        <v>435</v>
      </c>
      <c r="AK5" s="109" t="s">
        <v>435</v>
      </c>
      <c r="AL5" s="691" t="s">
        <v>505</v>
      </c>
    </row>
    <row r="6" spans="2:38">
      <c r="B6" s="19"/>
      <c r="C6" s="629"/>
      <c r="D6" s="630"/>
      <c r="E6" s="630"/>
      <c r="F6" s="631"/>
      <c r="G6" s="20"/>
      <c r="H6" s="169"/>
      <c r="I6" s="19"/>
      <c r="J6" s="56"/>
      <c r="K6" s="180"/>
      <c r="L6" s="180"/>
      <c r="M6" s="180"/>
      <c r="N6" s="17"/>
      <c r="O6" s="17"/>
      <c r="P6" s="25"/>
      <c r="Q6" s="17"/>
      <c r="R6" s="17"/>
      <c r="S6" s="17"/>
      <c r="T6" s="17"/>
      <c r="U6" s="17"/>
      <c r="V6" s="20"/>
      <c r="W6" s="169"/>
      <c r="X6" s="19"/>
      <c r="Y6" s="40"/>
      <c r="Z6" s="40"/>
      <c r="AA6" s="40"/>
      <c r="AB6" s="40"/>
      <c r="AC6" s="20"/>
      <c r="AE6" s="110"/>
      <c r="AF6" s="111"/>
      <c r="AG6" s="248"/>
      <c r="AI6" s="188"/>
      <c r="AJ6" s="188" t="s">
        <v>503</v>
      </c>
      <c r="AK6" s="188" t="s">
        <v>504</v>
      </c>
      <c r="AL6" s="691"/>
    </row>
    <row r="7" spans="2:38" ht="15.5" customHeight="1">
      <c r="B7" s="19"/>
      <c r="C7" s="629"/>
      <c r="D7" s="630"/>
      <c r="E7" s="630"/>
      <c r="F7" s="631"/>
      <c r="G7" s="20"/>
      <c r="H7" s="169"/>
      <c r="I7" s="19"/>
      <c r="J7" s="690">
        <v>1.1000000000000001</v>
      </c>
      <c r="K7" s="680" t="s">
        <v>558</v>
      </c>
      <c r="L7" s="681"/>
      <c r="M7" s="682"/>
      <c r="N7" s="24"/>
      <c r="O7" s="21" t="s">
        <v>57</v>
      </c>
      <c r="P7" s="37" t="b">
        <v>0</v>
      </c>
      <c r="Q7" s="22"/>
      <c r="R7" s="677" t="s">
        <v>80</v>
      </c>
      <c r="S7" s="678"/>
      <c r="T7" s="678"/>
      <c r="U7" s="679"/>
      <c r="V7" s="23"/>
      <c r="W7" s="169"/>
      <c r="X7" s="19"/>
      <c r="Y7" s="674" t="str">
        <f>IF(AE17,Feedback_List!B18, " ")</f>
        <v xml:space="preserve"> </v>
      </c>
      <c r="Z7" s="675"/>
      <c r="AA7" s="675"/>
      <c r="AB7" s="676"/>
      <c r="AC7" s="20"/>
      <c r="AE7" s="185">
        <f t="shared" ref="AE7:AE17" si="0">IF(P7, 1, 0)</f>
        <v>0</v>
      </c>
      <c r="AF7" s="186">
        <f>IF(AE7=1, 1, 0)</f>
        <v>0</v>
      </c>
      <c r="AG7" s="752">
        <f>SUM(AF7:AF16) * AL7</f>
        <v>0</v>
      </c>
      <c r="AI7" s="114">
        <v>1</v>
      </c>
      <c r="AJ7" s="114">
        <v>10</v>
      </c>
      <c r="AK7" s="114">
        <v>2</v>
      </c>
      <c r="AL7" s="206">
        <f>AK7/AJ7</f>
        <v>0.2</v>
      </c>
    </row>
    <row r="8" spans="2:38" ht="15.5" customHeight="1">
      <c r="B8" s="19"/>
      <c r="C8" s="629"/>
      <c r="D8" s="630"/>
      <c r="E8" s="630"/>
      <c r="F8" s="631"/>
      <c r="G8" s="20"/>
      <c r="H8" s="169"/>
      <c r="I8" s="19"/>
      <c r="J8" s="624"/>
      <c r="K8" s="617"/>
      <c r="L8" s="618"/>
      <c r="M8" s="619"/>
      <c r="N8" s="24"/>
      <c r="O8" s="21" t="s">
        <v>58</v>
      </c>
      <c r="P8" s="37" t="b">
        <v>0</v>
      </c>
      <c r="Q8" s="22"/>
      <c r="R8" s="629"/>
      <c r="S8" s="630"/>
      <c r="T8" s="630"/>
      <c r="U8" s="631"/>
      <c r="V8" s="23"/>
      <c r="W8" s="169"/>
      <c r="X8" s="19"/>
      <c r="Y8" s="662"/>
      <c r="Z8" s="663"/>
      <c r="AA8" s="663"/>
      <c r="AB8" s="664"/>
      <c r="AC8" s="20"/>
      <c r="AE8" s="123">
        <f t="shared" si="0"/>
        <v>0</v>
      </c>
      <c r="AF8" s="122">
        <f t="shared" ref="AF8:AF16" si="1">IF(AE8=1, 1, 0)</f>
        <v>0</v>
      </c>
      <c r="AG8" s="753"/>
      <c r="AI8" s="114">
        <v>2</v>
      </c>
      <c r="AJ8" s="114">
        <v>5</v>
      </c>
      <c r="AK8" s="187">
        <v>6</v>
      </c>
      <c r="AL8" s="206">
        <f t="shared" ref="AL8:AL10" si="2">AK8/AJ8</f>
        <v>1.2</v>
      </c>
    </row>
    <row r="9" spans="2:38" ht="15.5" customHeight="1">
      <c r="B9" s="27"/>
      <c r="C9" s="629"/>
      <c r="D9" s="630"/>
      <c r="E9" s="630"/>
      <c r="F9" s="631"/>
      <c r="G9" s="23"/>
      <c r="H9" s="169"/>
      <c r="I9" s="19"/>
      <c r="J9" s="624"/>
      <c r="K9" s="617"/>
      <c r="L9" s="618"/>
      <c r="M9" s="619"/>
      <c r="N9" s="24"/>
      <c r="O9" s="21" t="s">
        <v>59</v>
      </c>
      <c r="P9" s="37" t="b">
        <v>0</v>
      </c>
      <c r="Q9" s="22"/>
      <c r="R9" s="629"/>
      <c r="S9" s="630"/>
      <c r="T9" s="630"/>
      <c r="U9" s="631"/>
      <c r="V9" s="23"/>
      <c r="W9" s="169"/>
      <c r="X9" s="27"/>
      <c r="Y9" s="662"/>
      <c r="Z9" s="663"/>
      <c r="AA9" s="663"/>
      <c r="AB9" s="664"/>
      <c r="AC9" s="23"/>
      <c r="AD9" s="100"/>
      <c r="AE9" s="123">
        <f t="shared" si="0"/>
        <v>0</v>
      </c>
      <c r="AF9" s="122">
        <f t="shared" si="1"/>
        <v>0</v>
      </c>
      <c r="AG9" s="753"/>
      <c r="AI9" s="114">
        <v>3</v>
      </c>
      <c r="AJ9" s="114">
        <v>5</v>
      </c>
      <c r="AK9" s="114">
        <v>4</v>
      </c>
      <c r="AL9" s="206">
        <f t="shared" si="2"/>
        <v>0.8</v>
      </c>
    </row>
    <row r="10" spans="2:38" ht="15.5" customHeight="1">
      <c r="B10" s="27"/>
      <c r="C10" s="629"/>
      <c r="D10" s="630"/>
      <c r="E10" s="630"/>
      <c r="F10" s="631"/>
      <c r="G10" s="23"/>
      <c r="H10" s="169"/>
      <c r="I10" s="19"/>
      <c r="J10" s="624"/>
      <c r="K10" s="617"/>
      <c r="L10" s="618"/>
      <c r="M10" s="619"/>
      <c r="N10" s="24"/>
      <c r="O10" s="21" t="s">
        <v>60</v>
      </c>
      <c r="P10" s="37" t="b">
        <v>0</v>
      </c>
      <c r="Q10" s="22"/>
      <c r="R10" s="629"/>
      <c r="S10" s="630"/>
      <c r="T10" s="630"/>
      <c r="U10" s="631"/>
      <c r="V10" s="23"/>
      <c r="W10" s="169"/>
      <c r="X10" s="27"/>
      <c r="Y10" s="662"/>
      <c r="Z10" s="663"/>
      <c r="AA10" s="663"/>
      <c r="AB10" s="664"/>
      <c r="AC10" s="23"/>
      <c r="AD10" s="100"/>
      <c r="AE10" s="123">
        <f t="shared" si="0"/>
        <v>0</v>
      </c>
      <c r="AF10" s="122">
        <f t="shared" si="1"/>
        <v>0</v>
      </c>
      <c r="AG10" s="753"/>
      <c r="AI10" s="114">
        <v>4</v>
      </c>
      <c r="AJ10" s="114">
        <v>8</v>
      </c>
      <c r="AK10" s="114">
        <v>3</v>
      </c>
      <c r="AL10" s="206">
        <f t="shared" si="2"/>
        <v>0.375</v>
      </c>
    </row>
    <row r="11" spans="2:38" ht="15.5" customHeight="1">
      <c r="B11" s="27"/>
      <c r="C11" s="629"/>
      <c r="D11" s="630"/>
      <c r="E11" s="630"/>
      <c r="F11" s="631"/>
      <c r="G11" s="23"/>
      <c r="H11" s="169"/>
      <c r="I11" s="19"/>
      <c r="J11" s="624"/>
      <c r="K11" s="617"/>
      <c r="L11" s="618"/>
      <c r="M11" s="619"/>
      <c r="N11" s="24"/>
      <c r="O11" s="21" t="s">
        <v>61</v>
      </c>
      <c r="P11" s="37" t="b">
        <v>0</v>
      </c>
      <c r="Q11" s="22"/>
      <c r="R11" s="629"/>
      <c r="S11" s="630"/>
      <c r="T11" s="630"/>
      <c r="U11" s="631"/>
      <c r="V11" s="23"/>
      <c r="W11" s="169"/>
      <c r="X11" s="27"/>
      <c r="Y11" s="662"/>
      <c r="Z11" s="663"/>
      <c r="AA11" s="663"/>
      <c r="AB11" s="664"/>
      <c r="AC11" s="23"/>
      <c r="AD11" s="100"/>
      <c r="AE11" s="123">
        <f t="shared" si="0"/>
        <v>0</v>
      </c>
      <c r="AF11" s="122">
        <f t="shared" si="1"/>
        <v>0</v>
      </c>
      <c r="AG11" s="753"/>
      <c r="AI11" s="264" t="s">
        <v>596</v>
      </c>
      <c r="AJ11" s="264">
        <f>SUM(AJ7:AJ10)</f>
        <v>28</v>
      </c>
      <c r="AK11" s="264">
        <f>SUM(AK7:AK10)</f>
        <v>15</v>
      </c>
    </row>
    <row r="12" spans="2:38" ht="15.5" customHeight="1">
      <c r="B12" s="27"/>
      <c r="C12" s="629"/>
      <c r="D12" s="630"/>
      <c r="E12" s="630"/>
      <c r="F12" s="631"/>
      <c r="G12" s="23"/>
      <c r="H12" s="169"/>
      <c r="I12" s="9"/>
      <c r="J12" s="624"/>
      <c r="K12" s="617"/>
      <c r="L12" s="618"/>
      <c r="M12" s="619"/>
      <c r="N12" s="24"/>
      <c r="O12" s="13" t="s">
        <v>62</v>
      </c>
      <c r="P12" s="37" t="b">
        <v>0</v>
      </c>
      <c r="Q12" s="10"/>
      <c r="R12" s="629"/>
      <c r="S12" s="630"/>
      <c r="T12" s="630"/>
      <c r="U12" s="631"/>
      <c r="V12" s="12"/>
      <c r="W12" s="169"/>
      <c r="X12" s="27"/>
      <c r="Y12" s="662"/>
      <c r="Z12" s="663"/>
      <c r="AA12" s="663"/>
      <c r="AB12" s="664"/>
      <c r="AC12" s="23"/>
      <c r="AD12" s="100"/>
      <c r="AE12" s="123">
        <f t="shared" si="0"/>
        <v>0</v>
      </c>
      <c r="AF12" s="122">
        <f t="shared" si="1"/>
        <v>0</v>
      </c>
      <c r="AG12" s="753"/>
    </row>
    <row r="13" spans="2:38" ht="15.5" customHeight="1">
      <c r="B13" s="27"/>
      <c r="C13" s="629"/>
      <c r="D13" s="630"/>
      <c r="E13" s="630"/>
      <c r="F13" s="631"/>
      <c r="G13" s="23"/>
      <c r="H13" s="169"/>
      <c r="I13" s="9"/>
      <c r="J13" s="624"/>
      <c r="K13" s="617"/>
      <c r="L13" s="618"/>
      <c r="M13" s="619"/>
      <c r="N13" s="24"/>
      <c r="O13" s="13" t="s">
        <v>63</v>
      </c>
      <c r="P13" s="37" t="b">
        <v>0</v>
      </c>
      <c r="Q13" s="10"/>
      <c r="R13" s="629"/>
      <c r="S13" s="630"/>
      <c r="T13" s="630"/>
      <c r="U13" s="631"/>
      <c r="V13" s="12"/>
      <c r="W13" s="169"/>
      <c r="X13" s="27"/>
      <c r="Y13" s="662"/>
      <c r="Z13" s="663"/>
      <c r="AA13" s="663"/>
      <c r="AB13" s="664"/>
      <c r="AC13" s="23"/>
      <c r="AD13" s="100"/>
      <c r="AE13" s="123">
        <f t="shared" si="0"/>
        <v>0</v>
      </c>
      <c r="AF13" s="122">
        <f t="shared" si="1"/>
        <v>0</v>
      </c>
      <c r="AG13" s="753"/>
    </row>
    <row r="14" spans="2:38" ht="15.5" customHeight="1">
      <c r="B14" s="27"/>
      <c r="C14" s="629"/>
      <c r="D14" s="630"/>
      <c r="E14" s="630"/>
      <c r="F14" s="631"/>
      <c r="G14" s="23"/>
      <c r="H14" s="169"/>
      <c r="I14" s="9"/>
      <c r="J14" s="624"/>
      <c r="K14" s="617"/>
      <c r="L14" s="618"/>
      <c r="M14" s="619"/>
      <c r="N14" s="24"/>
      <c r="O14" s="155" t="s">
        <v>508</v>
      </c>
      <c r="P14" s="134" t="b">
        <v>0</v>
      </c>
      <c r="Q14" s="10"/>
      <c r="R14" s="629"/>
      <c r="S14" s="630"/>
      <c r="T14" s="630"/>
      <c r="U14" s="631"/>
      <c r="V14" s="12"/>
      <c r="W14" s="169"/>
      <c r="X14" s="27"/>
      <c r="Y14" s="662"/>
      <c r="Z14" s="663"/>
      <c r="AA14" s="663"/>
      <c r="AB14" s="664"/>
      <c r="AC14" s="23"/>
      <c r="AD14" s="100"/>
      <c r="AE14" s="123">
        <f t="shared" si="0"/>
        <v>0</v>
      </c>
      <c r="AF14" s="122">
        <f t="shared" si="1"/>
        <v>0</v>
      </c>
      <c r="AG14" s="753"/>
    </row>
    <row r="15" spans="2:38" ht="15.5" customHeight="1">
      <c r="B15" s="27"/>
      <c r="C15" s="629"/>
      <c r="D15" s="630"/>
      <c r="E15" s="630"/>
      <c r="F15" s="631"/>
      <c r="G15" s="23"/>
      <c r="H15" s="169"/>
      <c r="I15" s="9"/>
      <c r="J15" s="624"/>
      <c r="K15" s="617"/>
      <c r="L15" s="618"/>
      <c r="M15" s="619"/>
      <c r="N15" s="24"/>
      <c r="O15" s="13" t="s">
        <v>64</v>
      </c>
      <c r="P15" s="37" t="b">
        <v>0</v>
      </c>
      <c r="Q15" s="10"/>
      <c r="R15" s="629"/>
      <c r="S15" s="630"/>
      <c r="T15" s="630"/>
      <c r="U15" s="631"/>
      <c r="V15" s="12"/>
      <c r="W15" s="169"/>
      <c r="X15" s="27"/>
      <c r="Y15" s="662"/>
      <c r="Z15" s="663"/>
      <c r="AA15" s="663"/>
      <c r="AB15" s="664"/>
      <c r="AC15" s="23"/>
      <c r="AD15" s="100"/>
      <c r="AE15" s="123">
        <f t="shared" si="0"/>
        <v>0</v>
      </c>
      <c r="AF15" s="122">
        <f t="shared" si="1"/>
        <v>0</v>
      </c>
      <c r="AG15" s="753"/>
    </row>
    <row r="16" spans="2:38" ht="15.5" customHeight="1">
      <c r="B16" s="27"/>
      <c r="C16" s="632"/>
      <c r="D16" s="633"/>
      <c r="E16" s="633"/>
      <c r="F16" s="634"/>
      <c r="G16" s="23"/>
      <c r="H16" s="169"/>
      <c r="I16" s="9"/>
      <c r="J16" s="624"/>
      <c r="K16" s="617"/>
      <c r="L16" s="618"/>
      <c r="M16" s="619"/>
      <c r="N16" s="24"/>
      <c r="O16" s="13" t="s">
        <v>65</v>
      </c>
      <c r="P16" s="37" t="b">
        <v>0</v>
      </c>
      <c r="Q16" s="10"/>
      <c r="R16" s="629"/>
      <c r="S16" s="630"/>
      <c r="T16" s="630"/>
      <c r="U16" s="631"/>
      <c r="V16" s="12"/>
      <c r="W16" s="169"/>
      <c r="X16" s="27"/>
      <c r="Y16" s="662"/>
      <c r="Z16" s="663"/>
      <c r="AA16" s="663"/>
      <c r="AB16" s="664"/>
      <c r="AC16" s="23"/>
      <c r="AD16" s="100"/>
      <c r="AE16" s="123">
        <f t="shared" si="0"/>
        <v>0</v>
      </c>
      <c r="AF16" s="122">
        <f t="shared" si="1"/>
        <v>0</v>
      </c>
      <c r="AG16" s="753"/>
    </row>
    <row r="17" spans="2:33" ht="17.5" customHeight="1">
      <c r="B17" s="27"/>
      <c r="C17" s="30"/>
      <c r="D17" s="30"/>
      <c r="E17" s="30"/>
      <c r="F17" s="30"/>
      <c r="G17" s="23"/>
      <c r="H17" s="169"/>
      <c r="I17" s="9"/>
      <c r="J17" s="625"/>
      <c r="K17" s="620"/>
      <c r="L17" s="621"/>
      <c r="M17" s="622"/>
      <c r="N17" s="24"/>
      <c r="O17" s="155" t="s">
        <v>626</v>
      </c>
      <c r="P17" s="134" t="b">
        <v>0</v>
      </c>
      <c r="Q17" s="10"/>
      <c r="R17" s="632"/>
      <c r="S17" s="633"/>
      <c r="T17" s="633"/>
      <c r="U17" s="634"/>
      <c r="V17" s="12"/>
      <c r="W17" s="169"/>
      <c r="X17" s="27"/>
      <c r="Y17" s="665"/>
      <c r="Z17" s="666"/>
      <c r="AA17" s="666"/>
      <c r="AB17" s="667"/>
      <c r="AC17" s="23"/>
      <c r="AD17" s="100"/>
      <c r="AE17" s="110">
        <f t="shared" si="0"/>
        <v>0</v>
      </c>
      <c r="AF17" s="111"/>
      <c r="AG17" s="248"/>
    </row>
    <row r="18" spans="2:33" ht="19" thickBot="1">
      <c r="B18" s="27"/>
      <c r="C18" s="30"/>
      <c r="D18" s="30"/>
      <c r="E18" s="30"/>
      <c r="F18" s="30"/>
      <c r="G18" s="23"/>
      <c r="H18" s="169"/>
      <c r="I18" s="9"/>
      <c r="J18" s="66"/>
      <c r="K18" s="226"/>
      <c r="L18" s="226"/>
      <c r="M18" s="226"/>
      <c r="N18" s="32"/>
      <c r="O18" s="10"/>
      <c r="P18" s="18"/>
      <c r="Q18" s="10"/>
      <c r="R18" s="33"/>
      <c r="S18" s="33"/>
      <c r="T18" s="33"/>
      <c r="U18" s="33"/>
      <c r="V18" s="12"/>
      <c r="W18" s="169"/>
      <c r="X18" s="27"/>
      <c r="Y18" s="22"/>
      <c r="Z18" s="22"/>
      <c r="AA18" s="22"/>
      <c r="AB18" s="22"/>
      <c r="AC18" s="23"/>
      <c r="AD18" s="100"/>
      <c r="AE18" s="129">
        <f>SUM(AE7:AE16)</f>
        <v>0</v>
      </c>
      <c r="AF18" s="129">
        <f>SUM(AF7:AF16)</f>
        <v>0</v>
      </c>
      <c r="AG18" s="119"/>
    </row>
    <row r="19" spans="2:33" ht="19" thickTop="1">
      <c r="B19" s="27"/>
      <c r="C19" s="677" t="s">
        <v>83</v>
      </c>
      <c r="D19" s="678"/>
      <c r="E19" s="678"/>
      <c r="F19" s="679"/>
      <c r="G19" s="23"/>
      <c r="H19" s="169"/>
      <c r="I19" s="9"/>
      <c r="J19" s="28" t="s">
        <v>26</v>
      </c>
      <c r="K19" s="239" t="s">
        <v>66</v>
      </c>
      <c r="L19" s="240"/>
      <c r="M19" s="240"/>
      <c r="N19" s="10"/>
      <c r="O19" s="10"/>
      <c r="P19" s="18"/>
      <c r="Q19" s="10"/>
      <c r="R19" s="10"/>
      <c r="S19" s="10"/>
      <c r="T19" s="10"/>
      <c r="U19" s="10"/>
      <c r="V19" s="12"/>
      <c r="W19" s="169"/>
      <c r="X19" s="27"/>
      <c r="Y19" s="743" t="str">
        <f>IF(AE24,Feedback_List!B20,IF(Milestone_2!AE23,Feedback_List!C20," "))</f>
        <v xml:space="preserve"> </v>
      </c>
      <c r="Z19" s="744"/>
      <c r="AA19" s="744"/>
      <c r="AB19" s="745"/>
      <c r="AC19" s="23"/>
      <c r="AD19" s="100"/>
    </row>
    <row r="20" spans="2:33">
      <c r="B20" s="27"/>
      <c r="C20" s="629"/>
      <c r="D20" s="630"/>
      <c r="E20" s="630"/>
      <c r="F20" s="631"/>
      <c r="G20" s="23"/>
      <c r="H20" s="169"/>
      <c r="I20" s="9"/>
      <c r="J20" s="65"/>
      <c r="K20" s="240"/>
      <c r="L20" s="240"/>
      <c r="M20" s="240"/>
      <c r="N20" s="10"/>
      <c r="O20" s="10"/>
      <c r="P20" s="18"/>
      <c r="Q20" s="10"/>
      <c r="R20" s="10"/>
      <c r="S20" s="10"/>
      <c r="T20" s="10"/>
      <c r="U20" s="10"/>
      <c r="V20" s="12"/>
      <c r="W20" s="169"/>
      <c r="X20" s="27"/>
      <c r="Y20" s="746"/>
      <c r="Z20" s="747"/>
      <c r="AA20" s="747"/>
      <c r="AB20" s="748"/>
      <c r="AC20" s="23"/>
      <c r="AD20" s="100"/>
    </row>
    <row r="21" spans="2:33" ht="23.5" customHeight="1">
      <c r="B21" s="27"/>
      <c r="C21" s="629"/>
      <c r="D21" s="630"/>
      <c r="E21" s="630"/>
      <c r="F21" s="631"/>
      <c r="G21" s="23"/>
      <c r="H21" s="169"/>
      <c r="I21" s="9"/>
      <c r="J21" s="623">
        <v>2.1</v>
      </c>
      <c r="K21" s="731" t="s">
        <v>296</v>
      </c>
      <c r="L21" s="731"/>
      <c r="M21" s="731"/>
      <c r="N21" s="24"/>
      <c r="O21" s="34" t="s">
        <v>547</v>
      </c>
      <c r="P21" s="37" t="b">
        <v>0</v>
      </c>
      <c r="Q21" s="10"/>
      <c r="R21" s="730" t="s">
        <v>80</v>
      </c>
      <c r="S21" s="730"/>
      <c r="T21" s="730"/>
      <c r="U21" s="730"/>
      <c r="V21" s="12"/>
      <c r="W21" s="169"/>
      <c r="X21" s="27"/>
      <c r="Y21" s="746"/>
      <c r="Z21" s="747"/>
      <c r="AA21" s="747"/>
      <c r="AB21" s="748"/>
      <c r="AC21" s="23"/>
      <c r="AD21" s="197"/>
      <c r="AE21" s="128">
        <f>IF(P21, 1, 0)</f>
        <v>0</v>
      </c>
      <c r="AF21" s="121">
        <f>IF(AE21,5,IF(AE22,3,IF(AE23,2,IF(AE24,0,0))))</f>
        <v>0</v>
      </c>
      <c r="AG21" s="752">
        <f>SUM(AF21:AF24) * AL8</f>
        <v>0</v>
      </c>
    </row>
    <row r="22" spans="2:33" ht="23.5" customHeight="1">
      <c r="B22" s="27"/>
      <c r="C22" s="629"/>
      <c r="D22" s="630"/>
      <c r="E22" s="630"/>
      <c r="F22" s="631"/>
      <c r="G22" s="23"/>
      <c r="H22" s="169"/>
      <c r="I22" s="9"/>
      <c r="J22" s="624"/>
      <c r="K22" s="731"/>
      <c r="L22" s="731"/>
      <c r="M22" s="731"/>
      <c r="N22" s="24"/>
      <c r="O22" s="34" t="s">
        <v>68</v>
      </c>
      <c r="P22" s="37" t="b">
        <v>0</v>
      </c>
      <c r="Q22" s="10"/>
      <c r="R22" s="730"/>
      <c r="S22" s="730"/>
      <c r="T22" s="730"/>
      <c r="U22" s="730"/>
      <c r="V22" s="12"/>
      <c r="W22" s="169"/>
      <c r="X22" s="27"/>
      <c r="Y22" s="746"/>
      <c r="Z22" s="747"/>
      <c r="AA22" s="747"/>
      <c r="AB22" s="748"/>
      <c r="AC22" s="23"/>
      <c r="AD22" s="197"/>
      <c r="AE22" s="123">
        <f t="shared" ref="AE22:AE24" si="3">IF(P22, 1, 0)</f>
        <v>0</v>
      </c>
      <c r="AF22" s="122"/>
      <c r="AG22" s="753"/>
    </row>
    <row r="23" spans="2:33" ht="23.5" customHeight="1">
      <c r="B23" s="27"/>
      <c r="C23" s="629"/>
      <c r="D23" s="630"/>
      <c r="E23" s="630"/>
      <c r="F23" s="631"/>
      <c r="G23" s="23"/>
      <c r="H23" s="169"/>
      <c r="I23" s="9"/>
      <c r="J23" s="624"/>
      <c r="K23" s="731"/>
      <c r="L23" s="731"/>
      <c r="M23" s="731"/>
      <c r="N23" s="24"/>
      <c r="O23" s="34" t="s">
        <v>67</v>
      </c>
      <c r="P23" s="37" t="b">
        <v>0</v>
      </c>
      <c r="Q23" s="10"/>
      <c r="R23" s="730"/>
      <c r="S23" s="730"/>
      <c r="T23" s="730"/>
      <c r="U23" s="730"/>
      <c r="V23" s="12"/>
      <c r="W23" s="169"/>
      <c r="X23" s="27"/>
      <c r="Y23" s="746"/>
      <c r="Z23" s="747"/>
      <c r="AA23" s="747"/>
      <c r="AB23" s="748"/>
      <c r="AC23" s="23"/>
      <c r="AD23" s="197"/>
      <c r="AE23" s="123">
        <f t="shared" si="3"/>
        <v>0</v>
      </c>
      <c r="AF23" s="122"/>
      <c r="AG23" s="753"/>
    </row>
    <row r="24" spans="2:33" ht="23.5" customHeight="1">
      <c r="B24" s="27"/>
      <c r="C24" s="632"/>
      <c r="D24" s="633"/>
      <c r="E24" s="633"/>
      <c r="F24" s="634"/>
      <c r="G24" s="23"/>
      <c r="H24" s="169"/>
      <c r="I24" s="9"/>
      <c r="J24" s="625"/>
      <c r="K24" s="731"/>
      <c r="L24" s="731"/>
      <c r="M24" s="731"/>
      <c r="N24" s="24"/>
      <c r="O24" s="34" t="s">
        <v>69</v>
      </c>
      <c r="P24" s="37" t="b">
        <v>0</v>
      </c>
      <c r="Q24" s="10"/>
      <c r="R24" s="730"/>
      <c r="S24" s="730"/>
      <c r="T24" s="730"/>
      <c r="U24" s="730"/>
      <c r="V24" s="12"/>
      <c r="W24" s="169"/>
      <c r="X24" s="27"/>
      <c r="Y24" s="749"/>
      <c r="Z24" s="750"/>
      <c r="AA24" s="750"/>
      <c r="AB24" s="751"/>
      <c r="AC24" s="23"/>
      <c r="AD24" s="197"/>
      <c r="AE24" s="110">
        <f t="shared" si="3"/>
        <v>0</v>
      </c>
      <c r="AF24" s="111"/>
      <c r="AG24" s="754"/>
    </row>
    <row r="25" spans="2:33" ht="19" thickBot="1">
      <c r="B25" s="27"/>
      <c r="C25" s="30"/>
      <c r="D25" s="30"/>
      <c r="E25" s="30"/>
      <c r="F25" s="30"/>
      <c r="G25" s="23"/>
      <c r="H25" s="169"/>
      <c r="I25" s="9"/>
      <c r="J25" s="66"/>
      <c r="K25" s="226"/>
      <c r="L25" s="226"/>
      <c r="M25" s="226"/>
      <c r="N25" s="32"/>
      <c r="O25" s="10"/>
      <c r="P25" s="18"/>
      <c r="Q25" s="10"/>
      <c r="R25" s="10"/>
      <c r="S25" s="10"/>
      <c r="T25" s="10"/>
      <c r="U25" s="10"/>
      <c r="V25" s="12"/>
      <c r="W25" s="169"/>
      <c r="X25" s="27"/>
      <c r="Y25" s="62"/>
      <c r="Z25" s="62"/>
      <c r="AA25" s="62"/>
      <c r="AB25" s="62"/>
      <c r="AC25" s="23"/>
      <c r="AD25" s="100"/>
      <c r="AE25" s="129">
        <f>SUM(AE21:AE24)</f>
        <v>0</v>
      </c>
      <c r="AF25" s="129">
        <f>SUM(AF21:AF24)</f>
        <v>0</v>
      </c>
      <c r="AG25" s="119"/>
    </row>
    <row r="26" spans="2:33" ht="19" thickTop="1">
      <c r="B26" s="27"/>
      <c r="C26" s="677" t="s">
        <v>84</v>
      </c>
      <c r="D26" s="678"/>
      <c r="E26" s="678"/>
      <c r="F26" s="679"/>
      <c r="G26" s="23"/>
      <c r="H26" s="169"/>
      <c r="I26" s="9"/>
      <c r="J26" s="28" t="s">
        <v>39</v>
      </c>
      <c r="K26" s="239" t="s">
        <v>70</v>
      </c>
      <c r="L26" s="226"/>
      <c r="M26" s="226"/>
      <c r="N26" s="32"/>
      <c r="O26" s="10"/>
      <c r="P26" s="18"/>
      <c r="Q26" s="10"/>
      <c r="R26" s="10"/>
      <c r="S26" s="10"/>
      <c r="T26" s="10"/>
      <c r="U26" s="10"/>
      <c r="V26" s="12"/>
      <c r="W26" s="169"/>
      <c r="X26" s="27"/>
      <c r="Y26" s="743" t="str">
        <f>IF(AE31,Feedback_List!B22, " ")</f>
        <v xml:space="preserve"> </v>
      </c>
      <c r="Z26" s="744"/>
      <c r="AA26" s="744"/>
      <c r="AB26" s="745"/>
      <c r="AC26" s="23"/>
      <c r="AD26" s="100"/>
    </row>
    <row r="27" spans="2:33">
      <c r="B27" s="19"/>
      <c r="C27" s="629"/>
      <c r="D27" s="630"/>
      <c r="E27" s="630"/>
      <c r="F27" s="631"/>
      <c r="G27" s="20"/>
      <c r="H27" s="169"/>
      <c r="I27" s="9"/>
      <c r="J27" s="66"/>
      <c r="K27" s="226"/>
      <c r="L27" s="226"/>
      <c r="M27" s="226"/>
      <c r="N27" s="32"/>
      <c r="O27" s="10"/>
      <c r="P27" s="18"/>
      <c r="Q27" s="10"/>
      <c r="R27" s="10"/>
      <c r="S27" s="10"/>
      <c r="T27" s="10"/>
      <c r="U27" s="10"/>
      <c r="V27" s="12"/>
      <c r="W27" s="169"/>
      <c r="X27" s="19"/>
      <c r="Y27" s="746"/>
      <c r="Z27" s="747"/>
      <c r="AA27" s="747"/>
      <c r="AB27" s="748"/>
      <c r="AC27" s="20"/>
    </row>
    <row r="28" spans="2:33" ht="18.5" customHeight="1">
      <c r="B28" s="19"/>
      <c r="C28" s="629"/>
      <c r="D28" s="630"/>
      <c r="E28" s="630"/>
      <c r="F28" s="631"/>
      <c r="G28" s="20"/>
      <c r="H28" s="169"/>
      <c r="I28" s="9"/>
      <c r="J28" s="623">
        <v>3.1</v>
      </c>
      <c r="K28" s="612" t="s">
        <v>460</v>
      </c>
      <c r="L28" s="612"/>
      <c r="M28" s="612"/>
      <c r="N28" s="24"/>
      <c r="O28" s="36" t="s">
        <v>214</v>
      </c>
      <c r="P28" s="37" t="b">
        <v>0</v>
      </c>
      <c r="Q28" s="10"/>
      <c r="R28" s="730" t="s">
        <v>80</v>
      </c>
      <c r="S28" s="730"/>
      <c r="T28" s="730"/>
      <c r="U28" s="730"/>
      <c r="V28" s="12"/>
      <c r="W28" s="169"/>
      <c r="X28" s="19"/>
      <c r="Y28" s="746"/>
      <c r="Z28" s="747"/>
      <c r="AA28" s="747"/>
      <c r="AB28" s="748"/>
      <c r="AC28" s="20"/>
      <c r="AE28" s="132">
        <f>IF(P28,1,0)</f>
        <v>0</v>
      </c>
      <c r="AF28" s="121">
        <f>IF(AE28,5,IF(AE29,3,IF(AE30,2,IF(AE31,0,0))))</f>
        <v>0</v>
      </c>
      <c r="AG28" s="752">
        <f>SUM(AF28:AF36) * AL9</f>
        <v>0</v>
      </c>
    </row>
    <row r="29" spans="2:33" ht="18.5" customHeight="1">
      <c r="B29" s="19"/>
      <c r="C29" s="629"/>
      <c r="D29" s="630"/>
      <c r="E29" s="630"/>
      <c r="F29" s="631"/>
      <c r="G29" s="20"/>
      <c r="H29" s="169"/>
      <c r="I29" s="9"/>
      <c r="J29" s="624"/>
      <c r="K29" s="612"/>
      <c r="L29" s="612"/>
      <c r="M29" s="612"/>
      <c r="N29" s="24"/>
      <c r="O29" s="36" t="s">
        <v>441</v>
      </c>
      <c r="P29" s="37" t="b">
        <v>0</v>
      </c>
      <c r="Q29" s="10"/>
      <c r="R29" s="730"/>
      <c r="S29" s="730"/>
      <c r="T29" s="730"/>
      <c r="U29" s="730"/>
      <c r="V29" s="12"/>
      <c r="W29" s="169"/>
      <c r="X29" s="19"/>
      <c r="Y29" s="746"/>
      <c r="Z29" s="747"/>
      <c r="AA29" s="747"/>
      <c r="AB29" s="748"/>
      <c r="AC29" s="20"/>
      <c r="AE29" s="123">
        <f t="shared" ref="AE29:AE30" si="4">IF(P29,1,0)</f>
        <v>0</v>
      </c>
      <c r="AF29" s="122"/>
      <c r="AG29" s="753"/>
    </row>
    <row r="30" spans="2:33" ht="18.5" customHeight="1">
      <c r="B30" s="19"/>
      <c r="C30" s="629"/>
      <c r="D30" s="630"/>
      <c r="E30" s="630"/>
      <c r="F30" s="631"/>
      <c r="G30" s="20"/>
      <c r="H30" s="169"/>
      <c r="I30" s="9"/>
      <c r="J30" s="624"/>
      <c r="K30" s="612"/>
      <c r="L30" s="612"/>
      <c r="M30" s="612"/>
      <c r="N30" s="24"/>
      <c r="O30" s="36" t="s">
        <v>442</v>
      </c>
      <c r="P30" s="37" t="b">
        <v>0</v>
      </c>
      <c r="Q30" s="10"/>
      <c r="R30" s="730"/>
      <c r="S30" s="730"/>
      <c r="T30" s="730"/>
      <c r="U30" s="730"/>
      <c r="V30" s="12"/>
      <c r="W30" s="169"/>
      <c r="X30" s="19"/>
      <c r="Y30" s="746"/>
      <c r="Z30" s="747"/>
      <c r="AA30" s="747"/>
      <c r="AB30" s="748"/>
      <c r="AC30" s="20"/>
      <c r="AE30" s="123">
        <f t="shared" si="4"/>
        <v>0</v>
      </c>
      <c r="AF30" s="122"/>
      <c r="AG30" s="753"/>
    </row>
    <row r="31" spans="2:33" ht="18.5" customHeight="1">
      <c r="B31" s="19"/>
      <c r="C31" s="629"/>
      <c r="D31" s="630"/>
      <c r="E31" s="630"/>
      <c r="F31" s="631"/>
      <c r="G31" s="20"/>
      <c r="H31" s="169"/>
      <c r="I31" s="9"/>
      <c r="J31" s="625"/>
      <c r="K31" s="612"/>
      <c r="L31" s="612"/>
      <c r="M31" s="612"/>
      <c r="N31" s="24"/>
      <c r="O31" s="36" t="s">
        <v>461</v>
      </c>
      <c r="P31" s="37" t="b">
        <v>0</v>
      </c>
      <c r="Q31" s="10"/>
      <c r="R31" s="730"/>
      <c r="S31" s="730"/>
      <c r="T31" s="730"/>
      <c r="U31" s="730"/>
      <c r="V31" s="12"/>
      <c r="W31" s="169"/>
      <c r="X31" s="19"/>
      <c r="Y31" s="749"/>
      <c r="Z31" s="750"/>
      <c r="AA31" s="750"/>
      <c r="AB31" s="751"/>
      <c r="AC31" s="20"/>
      <c r="AE31" s="123">
        <f>IF(P31,1,0)</f>
        <v>0</v>
      </c>
      <c r="AF31" s="122"/>
      <c r="AG31" s="753"/>
    </row>
    <row r="32" spans="2:33">
      <c r="B32" s="19"/>
      <c r="C32" s="629"/>
      <c r="D32" s="630"/>
      <c r="E32" s="630"/>
      <c r="F32" s="631"/>
      <c r="G32" s="20"/>
      <c r="H32" s="169"/>
      <c r="I32" s="9"/>
      <c r="J32" s="65"/>
      <c r="K32" s="240"/>
      <c r="L32" s="240"/>
      <c r="M32" s="240"/>
      <c r="N32" s="10"/>
      <c r="O32" s="10"/>
      <c r="P32" s="18"/>
      <c r="Q32" s="10"/>
      <c r="R32" s="10"/>
      <c r="S32" s="10"/>
      <c r="T32" s="10"/>
      <c r="U32" s="10"/>
      <c r="V32" s="12"/>
      <c r="W32" s="169"/>
      <c r="X32" s="19"/>
      <c r="Y32" s="350"/>
      <c r="Z32" s="136"/>
      <c r="AA32" s="136"/>
      <c r="AB32" s="136"/>
      <c r="AC32" s="20"/>
      <c r="AE32" s="123"/>
      <c r="AF32" s="122"/>
      <c r="AG32" s="753"/>
    </row>
    <row r="33" spans="2:33" ht="50" customHeight="1">
      <c r="B33" s="19"/>
      <c r="C33" s="629"/>
      <c r="D33" s="630"/>
      <c r="E33" s="630"/>
      <c r="F33" s="631"/>
      <c r="G33" s="20"/>
      <c r="H33" s="169"/>
      <c r="I33" s="9"/>
      <c r="J33" s="623">
        <v>3.2</v>
      </c>
      <c r="K33" s="612" t="s">
        <v>297</v>
      </c>
      <c r="L33" s="612"/>
      <c r="M33" s="612"/>
      <c r="N33" s="24"/>
      <c r="O33" s="34" t="s">
        <v>72</v>
      </c>
      <c r="P33" s="37" t="b">
        <v>0</v>
      </c>
      <c r="Q33" s="10"/>
      <c r="R33" s="730" t="s">
        <v>80</v>
      </c>
      <c r="S33" s="730"/>
      <c r="T33" s="730"/>
      <c r="U33" s="730"/>
      <c r="V33" s="12"/>
      <c r="W33" s="169"/>
      <c r="X33" s="19"/>
      <c r="Y33" s="743" t="str">
        <f>IF(AE36,Feedback_List!B23, " ")</f>
        <v xml:space="preserve"> </v>
      </c>
      <c r="Z33" s="744"/>
      <c r="AA33" s="744"/>
      <c r="AB33" s="745"/>
      <c r="AC33" s="20"/>
      <c r="AE33" s="123"/>
      <c r="AF33" s="122"/>
      <c r="AG33" s="753"/>
    </row>
    <row r="34" spans="2:33" ht="50" customHeight="1">
      <c r="B34" s="19"/>
      <c r="C34" s="629"/>
      <c r="D34" s="630"/>
      <c r="E34" s="630"/>
      <c r="F34" s="631"/>
      <c r="G34" s="20"/>
      <c r="H34" s="169"/>
      <c r="I34" s="9"/>
      <c r="J34" s="624"/>
      <c r="K34" s="612"/>
      <c r="L34" s="612"/>
      <c r="M34" s="612"/>
      <c r="N34" s="24"/>
      <c r="O34" s="34" t="s">
        <v>73</v>
      </c>
      <c r="P34" s="37" t="b">
        <v>0</v>
      </c>
      <c r="Q34" s="10"/>
      <c r="R34" s="730"/>
      <c r="S34" s="730"/>
      <c r="T34" s="730"/>
      <c r="U34" s="730"/>
      <c r="V34" s="12"/>
      <c r="W34" s="169"/>
      <c r="X34" s="19"/>
      <c r="Y34" s="746"/>
      <c r="Z34" s="747"/>
      <c r="AA34" s="747"/>
      <c r="AB34" s="748"/>
      <c r="AC34" s="20"/>
      <c r="AE34" s="123"/>
      <c r="AF34" s="122"/>
      <c r="AG34" s="753"/>
    </row>
    <row r="35" spans="2:33" ht="50" customHeight="1">
      <c r="B35" s="19"/>
      <c r="C35" s="629"/>
      <c r="D35" s="630"/>
      <c r="E35" s="630"/>
      <c r="F35" s="631"/>
      <c r="G35" s="20"/>
      <c r="H35" s="169"/>
      <c r="I35" s="9"/>
      <c r="J35" s="624"/>
      <c r="K35" s="612"/>
      <c r="L35" s="612"/>
      <c r="M35" s="612"/>
      <c r="N35" s="24"/>
      <c r="O35" s="34" t="s">
        <v>74</v>
      </c>
      <c r="P35" s="37" t="b">
        <v>0</v>
      </c>
      <c r="Q35" s="10"/>
      <c r="R35" s="730"/>
      <c r="S35" s="730"/>
      <c r="T35" s="730"/>
      <c r="U35" s="730"/>
      <c r="V35" s="12"/>
      <c r="W35" s="169"/>
      <c r="X35" s="19"/>
      <c r="Y35" s="746"/>
      <c r="Z35" s="747"/>
      <c r="AA35" s="747"/>
      <c r="AB35" s="748"/>
      <c r="AC35" s="20"/>
      <c r="AE35" s="123"/>
      <c r="AF35" s="122"/>
      <c r="AG35" s="753"/>
    </row>
    <row r="36" spans="2:33" ht="50" customHeight="1">
      <c r="B36" s="38"/>
      <c r="C36" s="632"/>
      <c r="D36" s="633"/>
      <c r="E36" s="633"/>
      <c r="F36" s="634"/>
      <c r="G36" s="39"/>
      <c r="H36" s="169"/>
      <c r="I36" s="9"/>
      <c r="J36" s="625"/>
      <c r="K36" s="612"/>
      <c r="L36" s="612"/>
      <c r="M36" s="612"/>
      <c r="N36" s="24"/>
      <c r="O36" s="34" t="s">
        <v>75</v>
      </c>
      <c r="P36" s="37" t="b">
        <v>0</v>
      </c>
      <c r="Q36" s="10"/>
      <c r="R36" s="730"/>
      <c r="S36" s="730"/>
      <c r="T36" s="730"/>
      <c r="U36" s="730"/>
      <c r="V36" s="12"/>
      <c r="W36" s="169"/>
      <c r="X36" s="38"/>
      <c r="Y36" s="746"/>
      <c r="Z36" s="747"/>
      <c r="AA36" s="747"/>
      <c r="AB36" s="748"/>
      <c r="AC36" s="39"/>
      <c r="AD36" s="101"/>
      <c r="AE36" s="123">
        <f>IF(P36,1,0)</f>
        <v>0</v>
      </c>
      <c r="AF36" s="111"/>
      <c r="AG36" s="754"/>
    </row>
    <row r="37" spans="2:33" ht="19" thickBot="1">
      <c r="B37" s="38"/>
      <c r="C37" s="35"/>
      <c r="D37" s="35"/>
      <c r="E37" s="35"/>
      <c r="F37" s="35"/>
      <c r="G37" s="39"/>
      <c r="H37" s="169"/>
      <c r="I37" s="9"/>
      <c r="J37" s="65"/>
      <c r="K37" s="240"/>
      <c r="L37" s="240"/>
      <c r="M37" s="240"/>
      <c r="N37" s="10"/>
      <c r="O37" s="10"/>
      <c r="P37" s="18"/>
      <c r="Q37" s="10"/>
      <c r="R37" s="10"/>
      <c r="S37" s="10"/>
      <c r="T37" s="10"/>
      <c r="U37" s="10"/>
      <c r="V37" s="12"/>
      <c r="W37" s="169"/>
      <c r="X37" s="38"/>
      <c r="Y37" s="746"/>
      <c r="Z37" s="747"/>
      <c r="AA37" s="747"/>
      <c r="AB37" s="748"/>
      <c r="AC37" s="39"/>
      <c r="AD37" s="101"/>
      <c r="AE37" s="129">
        <f>SUM(AE33:AE36)</f>
        <v>0</v>
      </c>
      <c r="AF37" s="129">
        <f>SUM(AF28:AF36)</f>
        <v>0</v>
      </c>
      <c r="AG37" s="119"/>
    </row>
    <row r="38" spans="2:33" ht="19" thickTop="1">
      <c r="B38" s="38"/>
      <c r="C38" s="677" t="s">
        <v>85</v>
      </c>
      <c r="D38" s="678"/>
      <c r="E38" s="678"/>
      <c r="F38" s="679"/>
      <c r="G38" s="39"/>
      <c r="H38" s="169"/>
      <c r="I38" s="9"/>
      <c r="J38" s="28" t="s">
        <v>40</v>
      </c>
      <c r="K38" s="239" t="s">
        <v>76</v>
      </c>
      <c r="L38" s="240"/>
      <c r="M38" s="240"/>
      <c r="N38" s="10"/>
      <c r="O38" s="10"/>
      <c r="P38" s="18"/>
      <c r="Q38" s="10"/>
      <c r="R38" s="10"/>
      <c r="S38" s="10"/>
      <c r="T38" s="10"/>
      <c r="U38" s="10"/>
      <c r="V38" s="12"/>
      <c r="W38" s="169"/>
      <c r="X38" s="38"/>
      <c r="Y38" s="749"/>
      <c r="Z38" s="750"/>
      <c r="AA38" s="750"/>
      <c r="AB38" s="751"/>
      <c r="AC38" s="39"/>
      <c r="AD38" s="101"/>
    </row>
    <row r="39" spans="2:33">
      <c r="B39" s="38"/>
      <c r="C39" s="629"/>
      <c r="D39" s="630"/>
      <c r="E39" s="630"/>
      <c r="F39" s="631"/>
      <c r="G39" s="39"/>
      <c r="H39" s="169"/>
      <c r="I39" s="9"/>
      <c r="J39" s="65"/>
      <c r="K39" s="240"/>
      <c r="L39" s="240"/>
      <c r="M39" s="240"/>
      <c r="N39" s="10"/>
      <c r="O39" s="10"/>
      <c r="P39" s="18"/>
      <c r="Q39" s="10"/>
      <c r="R39" s="10"/>
      <c r="S39" s="10"/>
      <c r="T39" s="10"/>
      <c r="U39" s="10"/>
      <c r="V39" s="12"/>
      <c r="W39" s="169"/>
      <c r="X39" s="38"/>
      <c r="Y39" s="62"/>
      <c r="Z39" s="62"/>
      <c r="AA39" s="62"/>
      <c r="AB39" s="62"/>
      <c r="AC39" s="39"/>
      <c r="AD39" s="101"/>
    </row>
    <row r="40" spans="2:33" ht="32" customHeight="1">
      <c r="B40" s="19"/>
      <c r="C40" s="629"/>
      <c r="D40" s="630"/>
      <c r="E40" s="630"/>
      <c r="F40" s="631"/>
      <c r="G40" s="20"/>
      <c r="H40" s="169"/>
      <c r="I40" s="9"/>
      <c r="J40" s="623">
        <v>4.0999999999999996</v>
      </c>
      <c r="K40" s="614" t="s">
        <v>1069</v>
      </c>
      <c r="L40" s="615"/>
      <c r="M40" s="616"/>
      <c r="N40" s="24"/>
      <c r="O40" s="181" t="s">
        <v>463</v>
      </c>
      <c r="P40" s="467" t="s">
        <v>1083</v>
      </c>
      <c r="Q40" s="10"/>
      <c r="R40" s="734" t="s">
        <v>80</v>
      </c>
      <c r="S40" s="735"/>
      <c r="T40" s="735"/>
      <c r="U40" s="736"/>
      <c r="V40" s="12"/>
      <c r="W40" s="169"/>
      <c r="X40" s="19"/>
      <c r="Y40" s="743" t="str">
        <f>IF(AE44=1, Feedback_List!B25, "")</f>
        <v/>
      </c>
      <c r="Z40" s="744"/>
      <c r="AA40" s="744"/>
      <c r="AB40" s="745"/>
      <c r="AC40" s="20"/>
      <c r="AE40" s="185">
        <f>IF(ISNUMBER(P40),1,0)</f>
        <v>0</v>
      </c>
      <c r="AF40" s="121">
        <f>IF(AE40,2,0)</f>
        <v>0</v>
      </c>
      <c r="AG40" s="752">
        <f>SUM(AF40:AF48) * AL10</f>
        <v>0</v>
      </c>
    </row>
    <row r="41" spans="2:33" ht="34">
      <c r="B41" s="38"/>
      <c r="C41" s="629"/>
      <c r="D41" s="630"/>
      <c r="E41" s="630"/>
      <c r="F41" s="631"/>
      <c r="G41" s="39"/>
      <c r="H41" s="169"/>
      <c r="I41" s="9"/>
      <c r="J41" s="624"/>
      <c r="K41" s="617"/>
      <c r="L41" s="618"/>
      <c r="M41" s="619"/>
      <c r="N41" s="24"/>
      <c r="O41" s="181" t="s">
        <v>464</v>
      </c>
      <c r="P41" s="467" t="s">
        <v>1083</v>
      </c>
      <c r="Q41" s="10"/>
      <c r="R41" s="737"/>
      <c r="S41" s="738"/>
      <c r="T41" s="738"/>
      <c r="U41" s="739"/>
      <c r="V41" s="12"/>
      <c r="W41" s="169"/>
      <c r="X41" s="38"/>
      <c r="Y41" s="746"/>
      <c r="Z41" s="747"/>
      <c r="AA41" s="747"/>
      <c r="AB41" s="748"/>
      <c r="AC41" s="39"/>
      <c r="AD41" s="101"/>
      <c r="AE41" s="123">
        <f t="shared" ref="AE41:AE42" si="5">IF(ISNUMBER(P41),1,0)</f>
        <v>0</v>
      </c>
      <c r="AF41" s="122">
        <f t="shared" ref="AF41:AF43" si="6">IF(AE41,2,0)</f>
        <v>0</v>
      </c>
      <c r="AG41" s="753"/>
    </row>
    <row r="42" spans="2:33" ht="34">
      <c r="B42" s="38"/>
      <c r="C42" s="629"/>
      <c r="D42" s="630"/>
      <c r="E42" s="630"/>
      <c r="F42" s="631"/>
      <c r="G42" s="39"/>
      <c r="H42" s="169"/>
      <c r="I42" s="9"/>
      <c r="J42" s="624"/>
      <c r="K42" s="617"/>
      <c r="L42" s="618"/>
      <c r="M42" s="619"/>
      <c r="N42" s="24"/>
      <c r="O42" s="181" t="s">
        <v>465</v>
      </c>
      <c r="P42" s="467" t="s">
        <v>1083</v>
      </c>
      <c r="Q42" s="10"/>
      <c r="R42" s="737"/>
      <c r="S42" s="738"/>
      <c r="T42" s="738"/>
      <c r="U42" s="739"/>
      <c r="V42" s="12"/>
      <c r="W42" s="169"/>
      <c r="X42" s="38"/>
      <c r="Y42" s="746"/>
      <c r="Z42" s="747"/>
      <c r="AA42" s="747"/>
      <c r="AB42" s="748"/>
      <c r="AC42" s="39"/>
      <c r="AD42" s="101"/>
      <c r="AE42" s="123">
        <f t="shared" si="5"/>
        <v>0</v>
      </c>
      <c r="AF42" s="122">
        <f t="shared" si="6"/>
        <v>0</v>
      </c>
      <c r="AG42" s="753"/>
    </row>
    <row r="43" spans="2:33" ht="34">
      <c r="B43" s="38"/>
      <c r="C43" s="629"/>
      <c r="D43" s="630"/>
      <c r="E43" s="630"/>
      <c r="F43" s="631"/>
      <c r="G43" s="39"/>
      <c r="H43" s="169"/>
      <c r="I43" s="9"/>
      <c r="J43" s="624"/>
      <c r="K43" s="617"/>
      <c r="L43" s="618"/>
      <c r="M43" s="619"/>
      <c r="N43" s="24"/>
      <c r="O43" s="181" t="s">
        <v>466</v>
      </c>
      <c r="P43" s="467" t="s">
        <v>1083</v>
      </c>
      <c r="Q43" s="10"/>
      <c r="R43" s="737"/>
      <c r="S43" s="738"/>
      <c r="T43" s="738"/>
      <c r="U43" s="739"/>
      <c r="V43" s="12"/>
      <c r="W43" s="169"/>
      <c r="X43" s="38"/>
      <c r="Y43" s="746"/>
      <c r="Z43" s="747"/>
      <c r="AA43" s="747"/>
      <c r="AB43" s="748"/>
      <c r="AC43" s="39"/>
      <c r="AD43" s="101"/>
      <c r="AE43" s="123">
        <f>IF(ISNUMBER(P43),1,0)</f>
        <v>0</v>
      </c>
      <c r="AF43" s="122">
        <f t="shared" si="6"/>
        <v>0</v>
      </c>
      <c r="AG43" s="753"/>
    </row>
    <row r="44" spans="2:33" ht="17">
      <c r="B44" s="38"/>
      <c r="C44" s="629"/>
      <c r="D44" s="630"/>
      <c r="E44" s="630"/>
      <c r="F44" s="631"/>
      <c r="G44" s="39"/>
      <c r="H44" s="169"/>
      <c r="I44" s="9"/>
      <c r="J44" s="625"/>
      <c r="K44" s="620"/>
      <c r="L44" s="621"/>
      <c r="M44" s="622"/>
      <c r="N44" s="24"/>
      <c r="O44" s="181" t="s">
        <v>462</v>
      </c>
      <c r="P44" s="37" t="b">
        <v>0</v>
      </c>
      <c r="Q44" s="10"/>
      <c r="R44" s="740"/>
      <c r="S44" s="741"/>
      <c r="T44" s="741"/>
      <c r="U44" s="742"/>
      <c r="V44" s="12"/>
      <c r="W44" s="169"/>
      <c r="X44" s="38"/>
      <c r="Y44" s="746"/>
      <c r="Z44" s="747"/>
      <c r="AA44" s="747"/>
      <c r="AB44" s="748"/>
      <c r="AC44" s="39"/>
      <c r="AD44" s="101"/>
      <c r="AE44" s="123">
        <f>IF(P44,1,0)</f>
        <v>0</v>
      </c>
      <c r="AF44" s="122"/>
      <c r="AG44" s="753"/>
    </row>
    <row r="45" spans="2:33">
      <c r="B45" s="38"/>
      <c r="C45" s="629"/>
      <c r="D45" s="630"/>
      <c r="E45" s="630"/>
      <c r="F45" s="631"/>
      <c r="G45" s="39"/>
      <c r="H45" s="169"/>
      <c r="I45" s="9"/>
      <c r="J45" s="65"/>
      <c r="K45" s="240"/>
      <c r="L45" s="240"/>
      <c r="M45" s="240"/>
      <c r="N45" s="10"/>
      <c r="O45" s="10"/>
      <c r="P45" s="18"/>
      <c r="Q45" s="10"/>
      <c r="R45" s="10"/>
      <c r="S45" s="10"/>
      <c r="T45" s="10"/>
      <c r="U45" s="10"/>
      <c r="V45" s="12"/>
      <c r="W45" s="169"/>
      <c r="X45" s="38"/>
      <c r="Y45" s="746"/>
      <c r="Z45" s="747"/>
      <c r="AA45" s="747"/>
      <c r="AB45" s="748"/>
      <c r="AC45" s="39"/>
      <c r="AD45" s="101"/>
      <c r="AE45" s="123"/>
      <c r="AF45" s="122"/>
      <c r="AG45" s="753"/>
    </row>
    <row r="46" spans="2:33" ht="18.5" customHeight="1">
      <c r="B46" s="38"/>
      <c r="C46" s="629"/>
      <c r="D46" s="630"/>
      <c r="E46" s="630"/>
      <c r="F46" s="631"/>
      <c r="G46" s="39"/>
      <c r="H46" s="169"/>
      <c r="I46" s="9"/>
      <c r="J46" s="623">
        <v>4.2</v>
      </c>
      <c r="K46" s="614" t="s">
        <v>439</v>
      </c>
      <c r="L46" s="615"/>
      <c r="M46" s="616"/>
      <c r="N46" s="24"/>
      <c r="O46" s="732"/>
      <c r="P46" s="733"/>
      <c r="Q46" s="10"/>
      <c r="R46" s="730" t="s">
        <v>80</v>
      </c>
      <c r="S46" s="730"/>
      <c r="T46" s="730"/>
      <c r="U46" s="730"/>
      <c r="V46" s="12"/>
      <c r="W46" s="169"/>
      <c r="X46" s="38"/>
      <c r="Y46" s="746"/>
      <c r="Z46" s="747"/>
      <c r="AA46" s="747"/>
      <c r="AB46" s="748"/>
      <c r="AC46" s="39"/>
      <c r="AD46" s="101"/>
      <c r="AE46" s="123"/>
      <c r="AF46" s="122"/>
      <c r="AG46" s="753"/>
    </row>
    <row r="47" spans="2:33" ht="18.5" customHeight="1">
      <c r="B47" s="38"/>
      <c r="C47" s="629"/>
      <c r="D47" s="630"/>
      <c r="E47" s="630"/>
      <c r="F47" s="631"/>
      <c r="G47" s="39"/>
      <c r="H47" s="169"/>
      <c r="I47" s="9"/>
      <c r="J47" s="624"/>
      <c r="K47" s="617"/>
      <c r="L47" s="618"/>
      <c r="M47" s="619"/>
      <c r="N47" s="24"/>
      <c r="O47" s="590"/>
      <c r="P47" s="592"/>
      <c r="Q47" s="10"/>
      <c r="R47" s="730"/>
      <c r="S47" s="730"/>
      <c r="T47" s="730"/>
      <c r="U47" s="730"/>
      <c r="V47" s="12"/>
      <c r="W47" s="169"/>
      <c r="X47" s="38"/>
      <c r="Y47" s="746"/>
      <c r="Z47" s="747"/>
      <c r="AA47" s="747"/>
      <c r="AB47" s="748"/>
      <c r="AC47" s="39"/>
      <c r="AD47" s="101"/>
      <c r="AE47" s="123">
        <f xml:space="preserve"> IF(ISTEXT(O46),1,0)</f>
        <v>0</v>
      </c>
      <c r="AF47" s="122"/>
      <c r="AG47" s="753"/>
    </row>
    <row r="48" spans="2:33" ht="18.5" customHeight="1">
      <c r="B48" s="19"/>
      <c r="C48" s="629"/>
      <c r="D48" s="630"/>
      <c r="E48" s="630"/>
      <c r="F48" s="631"/>
      <c r="G48" s="20"/>
      <c r="H48" s="169"/>
      <c r="I48" s="9"/>
      <c r="J48" s="624"/>
      <c r="K48" s="617"/>
      <c r="L48" s="618"/>
      <c r="M48" s="619"/>
      <c r="N48" s="24"/>
      <c r="O48" s="590"/>
      <c r="P48" s="592"/>
      <c r="Q48" s="10"/>
      <c r="R48" s="730"/>
      <c r="S48" s="730"/>
      <c r="T48" s="730"/>
      <c r="U48" s="730"/>
      <c r="V48" s="12"/>
      <c r="W48" s="169"/>
      <c r="X48" s="19"/>
      <c r="Y48" s="746"/>
      <c r="Z48" s="747"/>
      <c r="AA48" s="747"/>
      <c r="AB48" s="748"/>
      <c r="AC48" s="20"/>
      <c r="AE48" s="110"/>
      <c r="AF48" s="111"/>
      <c r="AG48" s="754"/>
    </row>
    <row r="49" spans="2:33" ht="18.5" customHeight="1" thickBot="1">
      <c r="B49" s="38"/>
      <c r="C49" s="632"/>
      <c r="D49" s="633"/>
      <c r="E49" s="633"/>
      <c r="F49" s="634"/>
      <c r="G49" s="39"/>
      <c r="H49" s="169"/>
      <c r="I49" s="9"/>
      <c r="J49" s="625"/>
      <c r="K49" s="620"/>
      <c r="L49" s="621"/>
      <c r="M49" s="622"/>
      <c r="N49" s="31"/>
      <c r="O49" s="593"/>
      <c r="P49" s="595"/>
      <c r="Q49" s="10"/>
      <c r="R49" s="730"/>
      <c r="S49" s="730"/>
      <c r="T49" s="730"/>
      <c r="U49" s="730"/>
      <c r="V49" s="12"/>
      <c r="W49" s="169"/>
      <c r="X49" s="38"/>
      <c r="Y49" s="746"/>
      <c r="Z49" s="747"/>
      <c r="AA49" s="747"/>
      <c r="AB49" s="748"/>
      <c r="AC49" s="39"/>
      <c r="AD49" s="101"/>
      <c r="AE49" s="129">
        <f>SUM(AE40:AE48)</f>
        <v>0</v>
      </c>
      <c r="AF49" s="129">
        <f>SUM(AF40:AF48)</f>
        <v>0</v>
      </c>
      <c r="AG49" s="119"/>
    </row>
    <row r="50" spans="2:33" ht="19" thickTop="1">
      <c r="B50" s="38"/>
      <c r="C50" s="17"/>
      <c r="D50" s="17"/>
      <c r="E50" s="17"/>
      <c r="F50" s="17"/>
      <c r="G50" s="39"/>
      <c r="H50" s="169"/>
      <c r="I50" s="9"/>
      <c r="J50" s="65"/>
      <c r="K50" s="240"/>
      <c r="L50" s="240"/>
      <c r="M50" s="240"/>
      <c r="N50" s="10"/>
      <c r="O50" s="10"/>
      <c r="P50" s="18"/>
      <c r="Q50" s="10"/>
      <c r="R50" s="10"/>
      <c r="S50" s="10"/>
      <c r="T50" s="10"/>
      <c r="U50" s="10"/>
      <c r="V50" s="12"/>
      <c r="W50" s="169"/>
      <c r="X50" s="38"/>
      <c r="Y50" s="746"/>
      <c r="Z50" s="747"/>
      <c r="AA50" s="747"/>
      <c r="AB50" s="748"/>
      <c r="AC50" s="39"/>
      <c r="AD50" s="101"/>
    </row>
    <row r="51" spans="2:33" ht="20">
      <c r="B51" s="38"/>
      <c r="C51" s="17"/>
      <c r="D51" s="17"/>
      <c r="E51" s="17"/>
      <c r="F51" s="17"/>
      <c r="G51" s="39"/>
      <c r="H51" s="169"/>
      <c r="I51" s="9"/>
      <c r="J51" s="758" t="s">
        <v>77</v>
      </c>
      <c r="K51" s="758"/>
      <c r="L51" s="758"/>
      <c r="M51" s="758"/>
      <c r="N51" s="758"/>
      <c r="O51" s="758"/>
      <c r="P51" s="758"/>
      <c r="Q51" s="10"/>
      <c r="R51" s="755" t="str">
        <f>ROUND(AG40+AG28+AG21+AG7,0) &amp;"/15"</f>
        <v>0/15</v>
      </c>
      <c r="S51" s="756"/>
      <c r="T51" s="756"/>
      <c r="U51" s="757"/>
      <c r="V51" s="12"/>
      <c r="W51" s="169"/>
      <c r="X51" s="38"/>
      <c r="Y51" s="749"/>
      <c r="Z51" s="750"/>
      <c r="AA51" s="750"/>
      <c r="AB51" s="751"/>
      <c r="AC51" s="39"/>
      <c r="AD51" s="101"/>
    </row>
    <row r="52" spans="2:33" ht="19" thickBot="1">
      <c r="B52" s="41"/>
      <c r="C52" s="42"/>
      <c r="D52" s="42"/>
      <c r="E52" s="42"/>
      <c r="F52" s="42"/>
      <c r="G52" s="43"/>
      <c r="H52" s="169"/>
      <c r="I52" s="14"/>
      <c r="J52" s="67"/>
      <c r="K52" s="241"/>
      <c r="L52" s="241"/>
      <c r="M52" s="241"/>
      <c r="N52" s="15"/>
      <c r="O52" s="15"/>
      <c r="P52" s="63"/>
      <c r="Q52" s="15"/>
      <c r="R52" s="15"/>
      <c r="S52" s="15"/>
      <c r="T52" s="15"/>
      <c r="U52" s="15"/>
      <c r="V52" s="16"/>
      <c r="W52" s="169"/>
      <c r="X52" s="41"/>
      <c r="Y52" s="222"/>
      <c r="Z52" s="222"/>
      <c r="AA52" s="222"/>
      <c r="AB52" s="222"/>
      <c r="AC52" s="43"/>
      <c r="AD52" s="101"/>
    </row>
    <row r="53" spans="2:33">
      <c r="B53" s="91"/>
      <c r="C53" s="91"/>
      <c r="D53" s="91"/>
      <c r="E53" s="91"/>
      <c r="F53" s="91"/>
      <c r="G53" s="91"/>
      <c r="H53" s="91"/>
      <c r="W53" s="91"/>
      <c r="X53" s="91"/>
      <c r="Y53" s="145"/>
      <c r="Z53" s="145"/>
      <c r="AA53" s="145"/>
      <c r="AB53" s="145"/>
      <c r="AC53" s="91"/>
      <c r="AD53" s="91"/>
    </row>
    <row r="54" spans="2:33">
      <c r="B54" s="91"/>
      <c r="C54" s="91"/>
      <c r="D54" s="91"/>
      <c r="E54" s="91"/>
      <c r="F54" s="91"/>
      <c r="G54" s="91"/>
      <c r="H54" s="91"/>
      <c r="W54" s="91"/>
      <c r="X54" s="91"/>
      <c r="Y54" s="145"/>
      <c r="Z54" s="145"/>
      <c r="AA54" s="145"/>
      <c r="AB54" s="145"/>
      <c r="AC54" s="91"/>
      <c r="AD54" s="91"/>
    </row>
    <row r="55" spans="2:33">
      <c r="B55" s="91"/>
      <c r="C55" s="91"/>
      <c r="D55" s="91"/>
      <c r="E55" s="91"/>
      <c r="F55" s="91"/>
      <c r="G55" s="91"/>
      <c r="H55" s="91"/>
      <c r="W55" s="91"/>
      <c r="X55" s="91"/>
      <c r="Y55" s="145"/>
      <c r="Z55" s="145"/>
      <c r="AA55" s="145"/>
      <c r="AB55" s="145"/>
      <c r="AC55" s="91"/>
      <c r="AD55" s="91"/>
    </row>
    <row r="56" spans="2:33">
      <c r="B56" s="91"/>
      <c r="C56" s="91"/>
      <c r="D56" s="91"/>
      <c r="E56" s="91"/>
      <c r="F56" s="91"/>
      <c r="G56" s="91"/>
      <c r="H56" s="91"/>
      <c r="W56" s="91"/>
      <c r="X56" s="91"/>
      <c r="Y56" s="145"/>
      <c r="Z56" s="145"/>
      <c r="AA56" s="145"/>
      <c r="AB56" s="145"/>
      <c r="AC56" s="91"/>
      <c r="AD56" s="91"/>
    </row>
    <row r="57" spans="2:33">
      <c r="B57" s="91"/>
      <c r="C57" s="91"/>
      <c r="D57" s="91"/>
      <c r="E57" s="91"/>
      <c r="F57" s="91"/>
      <c r="G57" s="91"/>
      <c r="H57" s="91"/>
      <c r="W57" s="91"/>
      <c r="X57" s="91"/>
      <c r="Y57" s="145"/>
      <c r="Z57" s="145"/>
      <c r="AA57" s="145"/>
      <c r="AB57" s="145"/>
      <c r="AC57" s="91"/>
      <c r="AD57" s="91"/>
    </row>
    <row r="58" spans="2:33">
      <c r="B58" s="91"/>
      <c r="C58" s="91"/>
      <c r="D58" s="91"/>
      <c r="E58" s="91"/>
      <c r="F58" s="91"/>
      <c r="G58" s="91"/>
      <c r="H58" s="91"/>
      <c r="W58" s="91"/>
      <c r="X58" s="91"/>
      <c r="Y58" s="145"/>
      <c r="Z58" s="145"/>
      <c r="AA58" s="145"/>
      <c r="AB58" s="145"/>
      <c r="AC58" s="91"/>
      <c r="AD58" s="91"/>
    </row>
    <row r="59" spans="2:33">
      <c r="B59" s="91"/>
      <c r="C59" s="91"/>
      <c r="D59" s="91"/>
      <c r="E59" s="91"/>
      <c r="F59" s="91"/>
      <c r="G59" s="91"/>
      <c r="H59" s="91"/>
      <c r="W59" s="91"/>
      <c r="X59" s="91"/>
      <c r="Y59" s="145"/>
      <c r="Z59" s="145"/>
      <c r="AA59" s="145"/>
      <c r="AB59" s="145"/>
      <c r="AC59" s="91"/>
      <c r="AD59" s="91"/>
    </row>
    <row r="60" spans="2:33">
      <c r="B60" s="91"/>
      <c r="C60" s="91"/>
      <c r="D60" s="91"/>
      <c r="E60" s="91"/>
      <c r="F60" s="91"/>
      <c r="G60" s="91"/>
      <c r="H60" s="91"/>
      <c r="W60" s="91"/>
      <c r="X60" s="91"/>
      <c r="Y60" s="145"/>
      <c r="Z60" s="145"/>
      <c r="AA60" s="145"/>
      <c r="AB60" s="145"/>
      <c r="AC60" s="91"/>
      <c r="AD60" s="91"/>
    </row>
    <row r="61" spans="2:33">
      <c r="B61" s="91"/>
      <c r="C61" s="91"/>
      <c r="D61" s="91"/>
      <c r="E61" s="91"/>
      <c r="F61" s="91"/>
      <c r="G61" s="91"/>
      <c r="H61" s="91"/>
      <c r="W61" s="91"/>
      <c r="X61" s="91"/>
      <c r="Y61" s="145"/>
      <c r="Z61" s="145"/>
      <c r="AA61" s="145"/>
      <c r="AB61" s="145"/>
      <c r="AC61" s="91"/>
      <c r="AD61" s="91"/>
    </row>
    <row r="62" spans="2:33">
      <c r="B62" s="91"/>
      <c r="C62" s="91"/>
      <c r="D62" s="91"/>
      <c r="E62" s="91"/>
      <c r="F62" s="91"/>
      <c r="G62" s="91"/>
      <c r="H62" s="91"/>
      <c r="W62" s="91"/>
      <c r="X62" s="91"/>
      <c r="Y62" s="145"/>
      <c r="Z62" s="145"/>
      <c r="AA62" s="145"/>
      <c r="AB62" s="145"/>
      <c r="AC62" s="91"/>
      <c r="AD62" s="91"/>
    </row>
    <row r="63" spans="2:33">
      <c r="B63" s="91"/>
      <c r="C63" s="91"/>
      <c r="D63" s="91"/>
      <c r="E63" s="91"/>
      <c r="F63" s="91"/>
      <c r="G63" s="91"/>
      <c r="H63" s="91"/>
      <c r="W63" s="91"/>
      <c r="X63" s="91"/>
      <c r="Y63" s="145"/>
      <c r="Z63" s="145"/>
      <c r="AA63" s="145"/>
      <c r="AB63" s="145"/>
      <c r="AC63" s="91"/>
      <c r="AD63" s="91"/>
    </row>
    <row r="64" spans="2:33">
      <c r="B64" s="91"/>
      <c r="C64" s="91"/>
      <c r="D64" s="91"/>
      <c r="E64" s="91"/>
      <c r="F64" s="91"/>
      <c r="G64" s="91"/>
      <c r="H64" s="91"/>
      <c r="W64" s="91"/>
      <c r="X64" s="91"/>
      <c r="Y64" s="145"/>
      <c r="Z64" s="145"/>
      <c r="AA64" s="145"/>
      <c r="AB64" s="145"/>
      <c r="AC64" s="91"/>
      <c r="AD64" s="91"/>
    </row>
    <row r="65" spans="2:30">
      <c r="B65" s="91"/>
      <c r="C65" s="91"/>
      <c r="D65" s="91"/>
      <c r="E65" s="91"/>
      <c r="F65" s="91"/>
      <c r="G65" s="91"/>
      <c r="H65" s="91"/>
      <c r="W65" s="91"/>
      <c r="X65" s="91"/>
      <c r="Y65" s="145"/>
      <c r="Z65" s="145"/>
      <c r="AA65" s="145"/>
      <c r="AB65" s="145"/>
      <c r="AC65" s="91"/>
      <c r="AD65" s="91"/>
    </row>
    <row r="66" spans="2:30">
      <c r="B66" s="91"/>
      <c r="C66" s="91"/>
      <c r="D66" s="91"/>
      <c r="E66" s="91"/>
      <c r="F66" s="91"/>
      <c r="G66" s="91"/>
      <c r="H66" s="91"/>
      <c r="W66" s="91"/>
      <c r="X66" s="91"/>
      <c r="Y66" s="145"/>
      <c r="Z66" s="145"/>
      <c r="AA66" s="145"/>
      <c r="AB66" s="145"/>
      <c r="AC66" s="91"/>
      <c r="AD66" s="91"/>
    </row>
    <row r="67" spans="2:30">
      <c r="B67" s="91"/>
      <c r="C67" s="91"/>
      <c r="D67" s="91"/>
      <c r="E67" s="91"/>
      <c r="F67" s="91"/>
      <c r="G67" s="91"/>
      <c r="H67" s="91"/>
      <c r="W67" s="91"/>
      <c r="X67" s="91"/>
      <c r="Y67" s="145"/>
      <c r="Z67" s="145"/>
      <c r="AA67" s="145"/>
      <c r="AB67" s="145"/>
      <c r="AC67" s="91"/>
      <c r="AD67" s="91"/>
    </row>
    <row r="68" spans="2:30">
      <c r="B68" s="91"/>
      <c r="C68" s="91"/>
      <c r="D68" s="91"/>
      <c r="E68" s="91"/>
      <c r="F68" s="91"/>
      <c r="G68" s="91"/>
      <c r="H68" s="91"/>
      <c r="W68" s="91"/>
      <c r="X68" s="91"/>
      <c r="Y68" s="145"/>
      <c r="Z68" s="145"/>
      <c r="AA68" s="145"/>
      <c r="AB68" s="145"/>
      <c r="AC68" s="91"/>
      <c r="AD68" s="91"/>
    </row>
    <row r="69" spans="2:30">
      <c r="B69" s="91"/>
      <c r="C69" s="91"/>
      <c r="D69" s="91"/>
      <c r="E69" s="91"/>
      <c r="F69" s="91"/>
      <c r="G69" s="91"/>
      <c r="H69" s="91"/>
      <c r="W69" s="91"/>
      <c r="X69" s="91"/>
      <c r="Y69" s="145"/>
      <c r="Z69" s="145"/>
      <c r="AA69" s="145"/>
      <c r="AB69" s="145"/>
      <c r="AC69" s="91"/>
      <c r="AD69" s="91"/>
    </row>
    <row r="70" spans="2:30">
      <c r="B70" s="91"/>
      <c r="C70" s="91"/>
      <c r="D70" s="91"/>
      <c r="E70" s="91"/>
      <c r="F70" s="91"/>
      <c r="G70" s="91"/>
      <c r="H70" s="91"/>
      <c r="W70" s="91"/>
      <c r="X70" s="91"/>
      <c r="Y70" s="145"/>
      <c r="Z70" s="145"/>
      <c r="AA70" s="145"/>
      <c r="AB70" s="145"/>
      <c r="AC70" s="91"/>
      <c r="AD70" s="91"/>
    </row>
    <row r="71" spans="2:30">
      <c r="B71" s="91"/>
      <c r="C71" s="91"/>
      <c r="D71" s="91"/>
      <c r="E71" s="91"/>
      <c r="F71" s="91"/>
      <c r="G71" s="91"/>
      <c r="H71" s="91"/>
      <c r="W71" s="91"/>
      <c r="X71" s="91"/>
      <c r="Y71" s="145"/>
      <c r="Z71" s="145"/>
      <c r="AA71" s="145"/>
      <c r="AB71" s="145"/>
      <c r="AC71" s="91"/>
      <c r="AD71" s="91"/>
    </row>
    <row r="72" spans="2:30">
      <c r="B72" s="91"/>
      <c r="C72" s="91"/>
      <c r="D72" s="91"/>
      <c r="E72" s="91"/>
      <c r="F72" s="91"/>
      <c r="G72" s="91"/>
      <c r="H72" s="91"/>
      <c r="W72" s="91"/>
      <c r="X72" s="91"/>
      <c r="Y72" s="145"/>
      <c r="Z72" s="145"/>
      <c r="AA72" s="145"/>
      <c r="AB72" s="145"/>
      <c r="AC72" s="91"/>
      <c r="AD72" s="91"/>
    </row>
    <row r="73" spans="2:30">
      <c r="B73" s="91"/>
      <c r="C73" s="91"/>
      <c r="D73" s="91"/>
      <c r="E73" s="91"/>
      <c r="F73" s="91"/>
      <c r="G73" s="91"/>
      <c r="H73" s="91"/>
      <c r="W73" s="91"/>
      <c r="X73" s="91"/>
      <c r="Y73" s="145"/>
      <c r="Z73" s="145"/>
      <c r="AA73" s="145"/>
      <c r="AB73" s="145"/>
      <c r="AC73" s="91"/>
      <c r="AD73" s="91"/>
    </row>
    <row r="74" spans="2:30">
      <c r="B74" s="91"/>
      <c r="C74" s="91"/>
      <c r="D74" s="91"/>
      <c r="E74" s="91"/>
      <c r="F74" s="91"/>
      <c r="G74" s="91"/>
      <c r="H74" s="91"/>
      <c r="W74" s="91"/>
      <c r="X74" s="91"/>
      <c r="Y74" s="145"/>
      <c r="Z74" s="145"/>
      <c r="AA74" s="145"/>
      <c r="AB74" s="145"/>
      <c r="AC74" s="91"/>
      <c r="AD74" s="91"/>
    </row>
    <row r="75" spans="2:30">
      <c r="B75" s="91"/>
      <c r="C75" s="91"/>
      <c r="D75" s="91"/>
      <c r="E75" s="91"/>
      <c r="F75" s="91"/>
      <c r="G75" s="91"/>
      <c r="H75" s="91"/>
      <c r="W75" s="91"/>
      <c r="X75" s="91"/>
      <c r="Y75" s="145"/>
      <c r="Z75" s="145"/>
      <c r="AA75" s="145"/>
      <c r="AB75" s="145"/>
      <c r="AC75" s="91"/>
      <c r="AD75" s="91"/>
    </row>
    <row r="76" spans="2:30">
      <c r="B76" s="91"/>
      <c r="C76" s="91"/>
      <c r="D76" s="91"/>
      <c r="E76" s="91"/>
      <c r="F76" s="91"/>
      <c r="G76" s="91"/>
      <c r="H76" s="91"/>
      <c r="W76" s="91"/>
      <c r="X76" s="91"/>
      <c r="Y76" s="145"/>
      <c r="Z76" s="145"/>
      <c r="AA76" s="145"/>
      <c r="AB76" s="145"/>
      <c r="AC76" s="91"/>
      <c r="AD76" s="91"/>
    </row>
    <row r="77" spans="2:30">
      <c r="B77" s="91"/>
      <c r="C77" s="91"/>
      <c r="D77" s="91"/>
      <c r="E77" s="91"/>
      <c r="F77" s="91"/>
      <c r="G77" s="91"/>
      <c r="H77" s="91"/>
      <c r="W77" s="91"/>
      <c r="X77" s="91"/>
      <c r="Y77" s="145"/>
      <c r="Z77" s="145"/>
      <c r="AA77" s="145"/>
      <c r="AB77" s="145"/>
      <c r="AC77" s="91"/>
      <c r="AD77" s="91"/>
    </row>
    <row r="78" spans="2:30">
      <c r="B78" s="91"/>
      <c r="C78" s="91"/>
      <c r="D78" s="91"/>
      <c r="E78" s="91"/>
      <c r="F78" s="91"/>
      <c r="G78" s="91"/>
      <c r="H78" s="91"/>
      <c r="W78" s="91"/>
      <c r="X78" s="91"/>
      <c r="Y78" s="145"/>
      <c r="Z78" s="145"/>
      <c r="AA78" s="145"/>
      <c r="AB78" s="145"/>
      <c r="AC78" s="91"/>
      <c r="AD78" s="91"/>
    </row>
    <row r="79" spans="2:30">
      <c r="B79" s="91"/>
      <c r="C79" s="91"/>
      <c r="D79" s="91"/>
      <c r="E79" s="91"/>
      <c r="F79" s="91"/>
      <c r="G79" s="91"/>
      <c r="H79" s="91"/>
      <c r="W79" s="91"/>
      <c r="X79" s="91"/>
      <c r="Y79" s="145"/>
      <c r="Z79" s="145"/>
      <c r="AA79" s="145"/>
      <c r="AB79" s="145"/>
      <c r="AC79" s="91"/>
      <c r="AD79" s="91"/>
    </row>
    <row r="80" spans="2:30">
      <c r="B80" s="91"/>
      <c r="C80" s="91"/>
      <c r="D80" s="91"/>
      <c r="E80" s="91"/>
      <c r="F80" s="91"/>
      <c r="G80" s="91"/>
      <c r="H80" s="91"/>
      <c r="W80" s="91"/>
      <c r="X80" s="91"/>
      <c r="Y80" s="145"/>
      <c r="Z80" s="145"/>
      <c r="AA80" s="145"/>
      <c r="AB80" s="145"/>
      <c r="AC80" s="91"/>
      <c r="AD80" s="91"/>
    </row>
    <row r="81" spans="2:30">
      <c r="B81" s="91"/>
      <c r="C81" s="91"/>
      <c r="D81" s="91"/>
      <c r="E81" s="91"/>
      <c r="F81" s="91"/>
      <c r="G81" s="91"/>
      <c r="H81" s="91"/>
      <c r="W81" s="91"/>
      <c r="X81" s="91"/>
      <c r="Y81" s="145"/>
      <c r="Z81" s="145"/>
      <c r="AA81" s="145"/>
      <c r="AB81" s="145"/>
      <c r="AC81" s="91"/>
      <c r="AD81" s="91"/>
    </row>
    <row r="82" spans="2:30">
      <c r="B82" s="91"/>
      <c r="C82" s="91"/>
      <c r="D82" s="91"/>
      <c r="E82" s="91"/>
      <c r="F82" s="91"/>
      <c r="G82" s="91"/>
      <c r="H82" s="91"/>
      <c r="W82" s="91"/>
      <c r="X82" s="91"/>
      <c r="Y82" s="145"/>
      <c r="Z82" s="145"/>
      <c r="AA82" s="145"/>
      <c r="AB82" s="145"/>
      <c r="AC82" s="91"/>
      <c r="AD82" s="91"/>
    </row>
    <row r="83" spans="2:30">
      <c r="B83" s="91"/>
      <c r="C83" s="91"/>
      <c r="D83" s="91"/>
      <c r="E83" s="91"/>
      <c r="F83" s="91"/>
      <c r="G83" s="91"/>
      <c r="H83" s="91"/>
      <c r="W83" s="91"/>
      <c r="X83" s="91"/>
      <c r="Y83" s="145"/>
      <c r="Z83" s="145"/>
      <c r="AA83" s="145"/>
      <c r="AB83" s="145"/>
      <c r="AC83" s="91"/>
      <c r="AD83" s="91"/>
    </row>
    <row r="84" spans="2:30">
      <c r="B84" s="91"/>
      <c r="C84" s="91"/>
      <c r="D84" s="91"/>
      <c r="E84" s="91"/>
      <c r="F84" s="91"/>
      <c r="G84" s="91"/>
      <c r="H84" s="91"/>
      <c r="W84" s="91"/>
      <c r="X84" s="91"/>
      <c r="Y84" s="145"/>
      <c r="Z84" s="145"/>
      <c r="AA84" s="145"/>
      <c r="AB84" s="145"/>
      <c r="AC84" s="91"/>
      <c r="AD84" s="91"/>
    </row>
    <row r="85" spans="2:30">
      <c r="B85" s="91"/>
      <c r="C85" s="91"/>
      <c r="D85" s="91"/>
      <c r="E85" s="91"/>
      <c r="F85" s="91"/>
      <c r="G85" s="91"/>
      <c r="H85" s="91"/>
      <c r="W85" s="91"/>
      <c r="X85" s="91"/>
      <c r="Y85" s="145"/>
      <c r="Z85" s="145"/>
      <c r="AA85" s="145"/>
      <c r="AB85" s="145"/>
      <c r="AC85" s="91"/>
      <c r="AD85" s="91"/>
    </row>
    <row r="86" spans="2:30">
      <c r="B86" s="91"/>
      <c r="C86" s="91"/>
      <c r="D86" s="91"/>
      <c r="E86" s="91"/>
      <c r="F86" s="91"/>
      <c r="G86" s="91"/>
      <c r="H86" s="91"/>
      <c r="W86" s="91"/>
      <c r="X86" s="91"/>
      <c r="Y86" s="145"/>
      <c r="Z86" s="145"/>
      <c r="AA86" s="145"/>
      <c r="AB86" s="145"/>
      <c r="AC86" s="91"/>
      <c r="AD86" s="91"/>
    </row>
  </sheetData>
  <mergeCells count="38">
    <mergeCell ref="C38:F49"/>
    <mergeCell ref="Y19:AB24"/>
    <mergeCell ref="K28:M31"/>
    <mergeCell ref="R28:U31"/>
    <mergeCell ref="K33:M36"/>
    <mergeCell ref="K46:M49"/>
    <mergeCell ref="J40:J44"/>
    <mergeCell ref="K40:M44"/>
    <mergeCell ref="Y40:AB51"/>
    <mergeCell ref="R51:U51"/>
    <mergeCell ref="J51:P51"/>
    <mergeCell ref="AL5:AL6"/>
    <mergeCell ref="AG7:AG16"/>
    <mergeCell ref="AG21:AG24"/>
    <mergeCell ref="AG28:AG36"/>
    <mergeCell ref="AG40:AG48"/>
    <mergeCell ref="B2:G3"/>
    <mergeCell ref="C5:F16"/>
    <mergeCell ref="C19:F24"/>
    <mergeCell ref="C26:F36"/>
    <mergeCell ref="J28:J31"/>
    <mergeCell ref="J7:J17"/>
    <mergeCell ref="X2:AC3"/>
    <mergeCell ref="I2:V3"/>
    <mergeCell ref="R46:U49"/>
    <mergeCell ref="R21:U24"/>
    <mergeCell ref="R33:U36"/>
    <mergeCell ref="J21:J24"/>
    <mergeCell ref="K21:M24"/>
    <mergeCell ref="O46:P49"/>
    <mergeCell ref="J33:J36"/>
    <mergeCell ref="R40:U44"/>
    <mergeCell ref="J46:J49"/>
    <mergeCell ref="K7:M17"/>
    <mergeCell ref="R7:U17"/>
    <mergeCell ref="Y7:AB17"/>
    <mergeCell ref="Y26:AB31"/>
    <mergeCell ref="Y33:AB38"/>
  </mergeCells>
  <conditionalFormatting sqref="O7">
    <cfRule type="expression" dxfId="501" priority="78">
      <formula>$P$7</formula>
    </cfRule>
  </conditionalFormatting>
  <conditionalFormatting sqref="O8">
    <cfRule type="expression" dxfId="500" priority="77">
      <formula>$P$8</formula>
    </cfRule>
  </conditionalFormatting>
  <conditionalFormatting sqref="O9">
    <cfRule type="expression" dxfId="499" priority="76">
      <formula>$P$9</formula>
    </cfRule>
  </conditionalFormatting>
  <conditionalFormatting sqref="O10">
    <cfRule type="expression" dxfId="498" priority="75">
      <formula>$P$10</formula>
    </cfRule>
  </conditionalFormatting>
  <conditionalFormatting sqref="O11">
    <cfRule type="expression" dxfId="497" priority="74">
      <formula>$P$11</formula>
    </cfRule>
  </conditionalFormatting>
  <conditionalFormatting sqref="O12">
    <cfRule type="expression" dxfId="496" priority="73">
      <formula>$P$12</formula>
    </cfRule>
  </conditionalFormatting>
  <conditionalFormatting sqref="O13">
    <cfRule type="expression" dxfId="495" priority="2">
      <formula>$P$13</formula>
    </cfRule>
  </conditionalFormatting>
  <conditionalFormatting sqref="O14">
    <cfRule type="expression" dxfId="494" priority="1">
      <formula>$P$14</formula>
    </cfRule>
  </conditionalFormatting>
  <conditionalFormatting sqref="O15">
    <cfRule type="expression" dxfId="493" priority="71">
      <formula>$P$15</formula>
    </cfRule>
  </conditionalFormatting>
  <conditionalFormatting sqref="O16">
    <cfRule type="expression" dxfId="492" priority="70">
      <formula>$P$16</formula>
    </cfRule>
  </conditionalFormatting>
  <conditionalFormatting sqref="O40">
    <cfRule type="expression" dxfId="491" priority="9">
      <formula>$P$40</formula>
    </cfRule>
  </conditionalFormatting>
  <conditionalFormatting sqref="O41">
    <cfRule type="expression" dxfId="490" priority="8">
      <formula>$P$41</formula>
    </cfRule>
  </conditionalFormatting>
  <conditionalFormatting sqref="O42">
    <cfRule type="expression" dxfId="489" priority="7">
      <formula>$P$42</formula>
    </cfRule>
  </conditionalFormatting>
  <conditionalFormatting sqref="O43">
    <cfRule type="expression" dxfId="488" priority="6">
      <formula>$P$43</formula>
    </cfRule>
  </conditionalFormatting>
  <conditionalFormatting sqref="O7:P16">
    <cfRule type="expression" dxfId="487" priority="26">
      <formula>$P$17</formula>
    </cfRule>
  </conditionalFormatting>
  <conditionalFormatting sqref="O21:P21 O23:P24">
    <cfRule type="expression" dxfId="486" priority="62">
      <formula>$P$22</formula>
    </cfRule>
  </conditionalFormatting>
  <conditionalFormatting sqref="O21:P22 O24:P24">
    <cfRule type="expression" dxfId="485" priority="61">
      <formula>$P$23</formula>
    </cfRule>
  </conditionalFormatting>
  <conditionalFormatting sqref="O21:P23">
    <cfRule type="expression" dxfId="484" priority="60">
      <formula>$P$24</formula>
    </cfRule>
  </conditionalFormatting>
  <conditionalFormatting sqref="O22:P24">
    <cfRule type="expression" dxfId="483" priority="63">
      <formula>$P$21</formula>
    </cfRule>
  </conditionalFormatting>
  <conditionalFormatting sqref="O28:P28 O30:P31">
    <cfRule type="expression" dxfId="482" priority="41">
      <formula>$P$29</formula>
    </cfRule>
  </conditionalFormatting>
  <conditionalFormatting sqref="O28:P29 O31:P31">
    <cfRule type="expression" dxfId="481" priority="40">
      <formula>$P$30</formula>
    </cfRule>
  </conditionalFormatting>
  <conditionalFormatting sqref="O28:P30">
    <cfRule type="expression" dxfId="480" priority="39">
      <formula>$P$31</formula>
    </cfRule>
  </conditionalFormatting>
  <conditionalFormatting sqref="O29:P31">
    <cfRule type="expression" dxfId="479" priority="42">
      <formula>$P$28</formula>
    </cfRule>
  </conditionalFormatting>
  <conditionalFormatting sqref="O33:P33">
    <cfRule type="expression" dxfId="478" priority="34">
      <formula>$P$34</formula>
    </cfRule>
  </conditionalFormatting>
  <conditionalFormatting sqref="O33:P34 O36:P36">
    <cfRule type="expression" dxfId="477" priority="33">
      <formula>$P$35</formula>
    </cfRule>
  </conditionalFormatting>
  <conditionalFormatting sqref="O33:P35">
    <cfRule type="expression" dxfId="476" priority="32">
      <formula>$P$36</formula>
    </cfRule>
  </conditionalFormatting>
  <conditionalFormatting sqref="O34:P36">
    <cfRule type="expression" dxfId="475" priority="35">
      <formula>$P$33</formula>
    </cfRule>
  </conditionalFormatting>
  <conditionalFormatting sqref="O35:P36">
    <cfRule type="expression" dxfId="474" priority="36">
      <formula>$P$34</formula>
    </cfRule>
  </conditionalFormatting>
  <conditionalFormatting sqref="O40:P43">
    <cfRule type="expression" dxfId="473" priority="5">
      <formula>$P$44</formula>
    </cfRule>
  </conditionalFormatting>
  <conditionalFormatting sqref="Y26">
    <cfRule type="expression" dxfId="472" priority="21">
      <formula>$P$31</formula>
    </cfRule>
  </conditionalFormatting>
  <conditionalFormatting sqref="Y7:AB17">
    <cfRule type="expression" dxfId="471" priority="24">
      <formula>$P$17</formula>
    </cfRule>
  </conditionalFormatting>
  <conditionalFormatting sqref="Y19:AB24">
    <cfRule type="expression" dxfId="470" priority="22">
      <formula>$P$24</formula>
    </cfRule>
  </conditionalFormatting>
  <conditionalFormatting sqref="Y33:AB38">
    <cfRule type="expression" dxfId="469" priority="15">
      <formula>$AE$36</formula>
    </cfRule>
  </conditionalFormatting>
  <conditionalFormatting sqref="Y40:AB51">
    <cfRule type="expression" dxfId="468" priority="19">
      <formula>$P$44</formula>
    </cfRule>
    <cfRule type="expression" dxfId="467" priority="4">
      <formula>"AND(AF49&gt;=1, AF49&lt;=4)"</formula>
    </cfRule>
    <cfRule type="expression" dxfId="466" priority="3">
      <formula>$AF$49&gt;4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8830-474E-45F9-90F5-E952A117A60A}">
  <sheetPr codeName="Sheet8">
    <tabColor theme="6" tint="0.39997558519241921"/>
  </sheetPr>
  <dimension ref="B1:AM124"/>
  <sheetViews>
    <sheetView showGridLines="0" topLeftCell="K105" zoomScale="64" zoomScaleNormal="100" workbookViewId="0">
      <selection activeCell="K12" sqref="K12:M15"/>
    </sheetView>
  </sheetViews>
  <sheetFormatPr baseColWidth="10" defaultColWidth="8.6640625" defaultRowHeight="18"/>
  <cols>
    <col min="1" max="1" width="4.1640625" style="91" customWidth="1"/>
    <col min="2" max="2" width="3.1640625" style="91" customWidth="1"/>
    <col min="3" max="6" width="8.6640625" style="91"/>
    <col min="7" max="7" width="3" style="91" customWidth="1"/>
    <col min="8" max="9" width="3.1640625" style="91" customWidth="1"/>
    <col min="10" max="10" width="9.1640625" style="130" customWidth="1"/>
    <col min="11" max="13" width="21.5" style="231" customWidth="1"/>
    <col min="14" max="14" width="3.33203125" style="91" customWidth="1"/>
    <col min="15" max="15" width="67.1640625" style="145" customWidth="1"/>
    <col min="16" max="16" width="40.33203125" style="145" customWidth="1"/>
    <col min="17" max="17" width="3.6640625" style="131" bestFit="1" customWidth="1"/>
    <col min="18" max="18" width="3.33203125" style="91" customWidth="1"/>
    <col min="19" max="22" width="7.33203125" style="91" customWidth="1"/>
    <col min="23" max="25" width="3.1640625" style="91" customWidth="1"/>
    <col min="26" max="29" width="23.33203125" style="220" customWidth="1"/>
    <col min="30" max="30" width="3" style="91" customWidth="1"/>
    <col min="31" max="31" width="9.33203125" style="91" customWidth="1"/>
    <col min="32" max="32" width="21.83203125" style="102" bestFit="1" customWidth="1"/>
    <col min="33" max="34" width="21.5" style="102" bestFit="1" customWidth="1"/>
    <col min="35" max="35" width="5.5" style="102" customWidth="1"/>
    <col min="36" max="36" width="10.5" style="102" bestFit="1" customWidth="1"/>
    <col min="37" max="37" width="16" style="102" bestFit="1" customWidth="1"/>
    <col min="38" max="38" width="16" style="97" bestFit="1" customWidth="1"/>
    <col min="39" max="39" width="20.33203125" style="97" bestFit="1" customWidth="1"/>
    <col min="40" max="16384" width="8.6640625" style="91"/>
  </cols>
  <sheetData>
    <row r="1" spans="2:39" ht="19" thickBot="1"/>
    <row r="2" spans="2:39" ht="15" customHeight="1">
      <c r="B2" s="635" t="s">
        <v>81</v>
      </c>
      <c r="C2" s="636"/>
      <c r="D2" s="636"/>
      <c r="E2" s="636"/>
      <c r="F2" s="636"/>
      <c r="G2" s="637"/>
      <c r="H2" s="170"/>
      <c r="I2" s="635" t="s">
        <v>86</v>
      </c>
      <c r="J2" s="636"/>
      <c r="K2" s="636"/>
      <c r="L2" s="636"/>
      <c r="M2" s="636"/>
      <c r="N2" s="636"/>
      <c r="O2" s="636"/>
      <c r="P2" s="636"/>
      <c r="Q2" s="636"/>
      <c r="R2" s="636"/>
      <c r="S2" s="636"/>
      <c r="T2" s="636"/>
      <c r="U2" s="636"/>
      <c r="V2" s="636"/>
      <c r="W2" s="637"/>
      <c r="X2" s="170"/>
      <c r="Y2" s="635" t="s">
        <v>454</v>
      </c>
      <c r="Z2" s="636"/>
      <c r="AA2" s="636"/>
      <c r="AB2" s="636"/>
      <c r="AC2" s="636"/>
      <c r="AD2" s="637"/>
      <c r="AE2" s="99"/>
    </row>
    <row r="3" spans="2:39" ht="15" customHeight="1" thickBot="1">
      <c r="B3" s="638"/>
      <c r="C3" s="639"/>
      <c r="D3" s="639"/>
      <c r="E3" s="639"/>
      <c r="F3" s="639"/>
      <c r="G3" s="640"/>
      <c r="H3" s="170"/>
      <c r="I3" s="638"/>
      <c r="J3" s="639"/>
      <c r="K3" s="639"/>
      <c r="L3" s="639"/>
      <c r="M3" s="639"/>
      <c r="N3" s="639"/>
      <c r="O3" s="639"/>
      <c r="P3" s="639"/>
      <c r="Q3" s="639"/>
      <c r="R3" s="639"/>
      <c r="S3" s="639"/>
      <c r="T3" s="639"/>
      <c r="U3" s="639"/>
      <c r="V3" s="639"/>
      <c r="W3" s="640"/>
      <c r="X3" s="170"/>
      <c r="Y3" s="638"/>
      <c r="Z3" s="639"/>
      <c r="AA3" s="639"/>
      <c r="AB3" s="639"/>
      <c r="AC3" s="639"/>
      <c r="AD3" s="640"/>
      <c r="AE3" s="99"/>
    </row>
    <row r="4" spans="2:39">
      <c r="B4" s="19"/>
      <c r="C4" s="17"/>
      <c r="D4" s="17"/>
      <c r="E4" s="17"/>
      <c r="F4" s="17"/>
      <c r="G4" s="20"/>
      <c r="H4" s="169"/>
      <c r="I4" s="19"/>
      <c r="J4" s="56"/>
      <c r="K4" s="224"/>
      <c r="L4" s="224"/>
      <c r="M4" s="224"/>
      <c r="N4" s="17"/>
      <c r="O4" s="40"/>
      <c r="P4" s="40"/>
      <c r="Q4" s="25"/>
      <c r="R4" s="17"/>
      <c r="S4" s="17"/>
      <c r="T4" s="17"/>
      <c r="U4" s="17"/>
      <c r="V4" s="17"/>
      <c r="W4" s="20"/>
      <c r="X4" s="169"/>
      <c r="Y4" s="19"/>
      <c r="Z4" s="22"/>
      <c r="AA4" s="22"/>
      <c r="AB4" s="22"/>
      <c r="AC4" s="22"/>
      <c r="AD4" s="20"/>
      <c r="AE4" s="95"/>
    </row>
    <row r="5" spans="2:39">
      <c r="B5" s="19"/>
      <c r="C5" s="17"/>
      <c r="D5" s="17"/>
      <c r="E5" s="17"/>
      <c r="F5" s="17"/>
      <c r="G5" s="20"/>
      <c r="H5" s="169"/>
      <c r="I5" s="19"/>
      <c r="J5" s="28" t="s">
        <v>16</v>
      </c>
      <c r="K5" s="225" t="s">
        <v>221</v>
      </c>
      <c r="L5" s="224"/>
      <c r="M5" s="224"/>
      <c r="N5" s="17"/>
      <c r="O5" s="40"/>
      <c r="P5" s="40"/>
      <c r="Q5" s="25"/>
      <c r="R5" s="17"/>
      <c r="S5" s="17"/>
      <c r="T5" s="17"/>
      <c r="U5" s="17"/>
      <c r="V5" s="17"/>
      <c r="W5" s="20"/>
      <c r="X5" s="169"/>
      <c r="Y5" s="19"/>
      <c r="Z5" s="22"/>
      <c r="AA5" s="22"/>
      <c r="AB5" s="22"/>
      <c r="AC5" s="22"/>
      <c r="AD5" s="20"/>
      <c r="AE5" s="95"/>
      <c r="AF5" s="178" t="s">
        <v>440</v>
      </c>
      <c r="AG5" s="179" t="s">
        <v>56</v>
      </c>
      <c r="AH5" s="198" t="s">
        <v>56</v>
      </c>
      <c r="AI5" s="104"/>
      <c r="AJ5" s="109" t="s">
        <v>434</v>
      </c>
      <c r="AK5" s="109" t="s">
        <v>435</v>
      </c>
      <c r="AL5" s="109" t="s">
        <v>435</v>
      </c>
      <c r="AM5" s="691" t="s">
        <v>505</v>
      </c>
    </row>
    <row r="6" spans="2:39">
      <c r="B6" s="19"/>
      <c r="C6" s="17"/>
      <c r="D6" s="17"/>
      <c r="E6" s="17"/>
      <c r="F6" s="17"/>
      <c r="G6" s="20"/>
      <c r="H6" s="169"/>
      <c r="I6" s="19"/>
      <c r="J6" s="56"/>
      <c r="K6" s="224"/>
      <c r="L6" s="224"/>
      <c r="M6" s="224"/>
      <c r="N6" s="17"/>
      <c r="O6" s="40"/>
      <c r="P6" s="40"/>
      <c r="Q6" s="25"/>
      <c r="R6" s="17"/>
      <c r="S6" s="17"/>
      <c r="T6" s="17"/>
      <c r="U6" s="17"/>
      <c r="V6" s="17"/>
      <c r="W6" s="20"/>
      <c r="X6" s="169"/>
      <c r="Y6" s="19"/>
      <c r="Z6" s="22"/>
      <c r="AA6" s="22"/>
      <c r="AB6" s="22"/>
      <c r="AC6" s="22"/>
      <c r="AD6" s="20"/>
      <c r="AE6" s="95"/>
      <c r="AF6" s="110"/>
      <c r="AG6" s="111"/>
      <c r="AH6" s="188"/>
      <c r="AJ6" s="188"/>
      <c r="AK6" s="188" t="s">
        <v>503</v>
      </c>
      <c r="AL6" s="188" t="s">
        <v>504</v>
      </c>
      <c r="AM6" s="691"/>
    </row>
    <row r="7" spans="2:39" ht="32.5" customHeight="1">
      <c r="B7" s="9"/>
      <c r="C7" s="677"/>
      <c r="D7" s="678"/>
      <c r="E7" s="678"/>
      <c r="F7" s="679"/>
      <c r="G7" s="12"/>
      <c r="H7" s="173"/>
      <c r="I7" s="9"/>
      <c r="J7" s="690">
        <v>1.1000000000000001</v>
      </c>
      <c r="K7" s="680" t="s">
        <v>283</v>
      </c>
      <c r="L7" s="681"/>
      <c r="M7" s="682"/>
      <c r="N7" s="24"/>
      <c r="O7" s="695" t="s">
        <v>851</v>
      </c>
      <c r="P7" s="697"/>
      <c r="Q7" s="134" t="b">
        <v>0</v>
      </c>
      <c r="R7" s="10"/>
      <c r="S7" s="773" t="s">
        <v>80</v>
      </c>
      <c r="T7" s="774"/>
      <c r="U7" s="774"/>
      <c r="V7" s="775"/>
      <c r="W7" s="12"/>
      <c r="X7" s="173"/>
      <c r="Y7" s="9"/>
      <c r="Z7" s="674" t="str">
        <f>IF(AF10,Feedback_List!B28,IF(AF9,Feedback_List!C28,IF(AF8,Feedback_List!C28," ")))</f>
        <v xml:space="preserve"> </v>
      </c>
      <c r="AA7" s="675"/>
      <c r="AB7" s="675"/>
      <c r="AC7" s="676"/>
      <c r="AD7" s="12"/>
      <c r="AF7" s="123">
        <f>IF(Q7, 1, 0)</f>
        <v>0</v>
      </c>
      <c r="AG7" s="122">
        <f>IF(AF7,7,IF(AF8,4,IF(AF9,2,IF(AF10,0,0))))</f>
        <v>0</v>
      </c>
      <c r="AH7" s="698">
        <f>SUM(AG7:AG69) * AM7</f>
        <v>0</v>
      </c>
      <c r="AI7" s="122"/>
      <c r="AJ7" s="114">
        <v>1</v>
      </c>
      <c r="AK7" s="114">
        <v>67</v>
      </c>
      <c r="AL7" s="114">
        <v>15</v>
      </c>
      <c r="AM7" s="206">
        <f>AL7/AK7</f>
        <v>0.22388059701492538</v>
      </c>
    </row>
    <row r="8" spans="2:39" ht="32.5" customHeight="1">
      <c r="B8" s="9"/>
      <c r="C8" s="629"/>
      <c r="D8" s="630"/>
      <c r="E8" s="630"/>
      <c r="F8" s="631"/>
      <c r="G8" s="12"/>
      <c r="H8" s="173"/>
      <c r="I8" s="9"/>
      <c r="J8" s="624"/>
      <c r="K8" s="617"/>
      <c r="L8" s="618"/>
      <c r="M8" s="619"/>
      <c r="N8" s="24"/>
      <c r="O8" s="695" t="s">
        <v>224</v>
      </c>
      <c r="P8" s="697"/>
      <c r="Q8" s="134" t="b">
        <v>0</v>
      </c>
      <c r="R8" s="10"/>
      <c r="S8" s="776"/>
      <c r="T8" s="777"/>
      <c r="U8" s="777"/>
      <c r="V8" s="778"/>
      <c r="W8" s="12"/>
      <c r="X8" s="173"/>
      <c r="Y8" s="9"/>
      <c r="Z8" s="662"/>
      <c r="AA8" s="663"/>
      <c r="AB8" s="663"/>
      <c r="AC8" s="664"/>
      <c r="AD8" s="12"/>
      <c r="AF8" s="123">
        <f t="shared" ref="AF8:AF10" si="0">IF(Q8, 1, 0)</f>
        <v>0</v>
      </c>
      <c r="AG8" s="122"/>
      <c r="AH8" s="699"/>
      <c r="AI8" s="122"/>
      <c r="AJ8" s="114">
        <v>2</v>
      </c>
      <c r="AK8" s="114">
        <v>29</v>
      </c>
      <c r="AL8" s="187">
        <v>10</v>
      </c>
      <c r="AM8" s="206">
        <f>AL8/AK8</f>
        <v>0.34482758620689657</v>
      </c>
    </row>
    <row r="9" spans="2:39" ht="32.5" customHeight="1">
      <c r="B9" s="9"/>
      <c r="C9" s="629"/>
      <c r="D9" s="630"/>
      <c r="E9" s="630"/>
      <c r="F9" s="631"/>
      <c r="G9" s="12"/>
      <c r="H9" s="173"/>
      <c r="I9" s="9"/>
      <c r="J9" s="624"/>
      <c r="K9" s="617"/>
      <c r="L9" s="618"/>
      <c r="M9" s="619"/>
      <c r="N9" s="24"/>
      <c r="O9" s="695" t="s">
        <v>225</v>
      </c>
      <c r="P9" s="697"/>
      <c r="Q9" s="134" t="b">
        <v>0</v>
      </c>
      <c r="R9" s="10"/>
      <c r="S9" s="776"/>
      <c r="T9" s="777"/>
      <c r="U9" s="777"/>
      <c r="V9" s="778"/>
      <c r="W9" s="12"/>
      <c r="X9" s="173"/>
      <c r="Y9" s="9"/>
      <c r="Z9" s="662"/>
      <c r="AA9" s="663"/>
      <c r="AB9" s="663"/>
      <c r="AC9" s="664"/>
      <c r="AD9" s="12"/>
      <c r="AF9" s="123">
        <f t="shared" si="0"/>
        <v>0</v>
      </c>
      <c r="AG9" s="122"/>
      <c r="AH9" s="699"/>
      <c r="AI9" s="122"/>
      <c r="AJ9" s="264" t="s">
        <v>596</v>
      </c>
      <c r="AK9" s="264">
        <f>SUM(AK7:AK8)</f>
        <v>96</v>
      </c>
      <c r="AL9" s="264">
        <f>SUM(AL7:AL8)</f>
        <v>25</v>
      </c>
      <c r="AM9" s="208"/>
    </row>
    <row r="10" spans="2:39" ht="32.5" customHeight="1">
      <c r="B10" s="9"/>
      <c r="C10" s="629"/>
      <c r="D10" s="630"/>
      <c r="E10" s="630"/>
      <c r="F10" s="631"/>
      <c r="G10" s="12"/>
      <c r="H10" s="173"/>
      <c r="I10" s="9"/>
      <c r="J10" s="625"/>
      <c r="K10" s="620"/>
      <c r="L10" s="621"/>
      <c r="M10" s="622"/>
      <c r="N10" s="24"/>
      <c r="O10" s="695" t="s">
        <v>223</v>
      </c>
      <c r="P10" s="697"/>
      <c r="Q10" s="134" t="b">
        <v>0</v>
      </c>
      <c r="R10" s="10"/>
      <c r="S10" s="779"/>
      <c r="T10" s="780"/>
      <c r="U10" s="780"/>
      <c r="V10" s="781"/>
      <c r="W10" s="12"/>
      <c r="X10" s="173"/>
      <c r="Y10" s="9"/>
      <c r="Z10" s="665"/>
      <c r="AA10" s="666"/>
      <c r="AB10" s="666"/>
      <c r="AC10" s="667"/>
      <c r="AD10" s="12"/>
      <c r="AF10" s="123">
        <f t="shared" si="0"/>
        <v>0</v>
      </c>
      <c r="AG10" s="122"/>
      <c r="AH10" s="699"/>
      <c r="AJ10" s="268"/>
    </row>
    <row r="11" spans="2:39">
      <c r="B11" s="9"/>
      <c r="C11" s="629"/>
      <c r="D11" s="630"/>
      <c r="E11" s="630"/>
      <c r="F11" s="631"/>
      <c r="G11" s="12"/>
      <c r="H11" s="173"/>
      <c r="I11" s="9"/>
      <c r="J11" s="182"/>
      <c r="K11" s="232"/>
      <c r="L11" s="232"/>
      <c r="M11" s="232"/>
      <c r="N11" s="10"/>
      <c r="O11" s="62"/>
      <c r="P11" s="62"/>
      <c r="Q11" s="18"/>
      <c r="R11" s="10"/>
      <c r="S11" s="10"/>
      <c r="T11" s="10"/>
      <c r="U11" s="10"/>
      <c r="V11" s="10"/>
      <c r="W11" s="12"/>
      <c r="X11" s="173"/>
      <c r="Y11" s="9"/>
      <c r="Z11" s="214"/>
      <c r="AA11" s="214"/>
      <c r="AB11" s="214"/>
      <c r="AC11" s="214"/>
      <c r="AD11" s="12"/>
      <c r="AF11" s="123"/>
      <c r="AG11" s="122"/>
      <c r="AH11" s="699"/>
    </row>
    <row r="12" spans="2:39" ht="33" customHeight="1">
      <c r="B12" s="9"/>
      <c r="C12" s="629"/>
      <c r="D12" s="630"/>
      <c r="E12" s="630"/>
      <c r="F12" s="631"/>
      <c r="G12" s="12"/>
      <c r="H12" s="173"/>
      <c r="I12" s="9"/>
      <c r="J12" s="690">
        <v>1.2</v>
      </c>
      <c r="K12" s="680" t="s">
        <v>284</v>
      </c>
      <c r="L12" s="681"/>
      <c r="M12" s="682"/>
      <c r="N12" s="24"/>
      <c r="O12" s="695" t="s">
        <v>851</v>
      </c>
      <c r="P12" s="697"/>
      <c r="Q12" s="134" t="b">
        <v>0</v>
      </c>
      <c r="R12" s="10"/>
      <c r="S12" s="773" t="s">
        <v>80</v>
      </c>
      <c r="T12" s="774"/>
      <c r="U12" s="774"/>
      <c r="V12" s="775"/>
      <c r="W12" s="12"/>
      <c r="X12" s="173"/>
      <c r="Y12" s="9"/>
      <c r="Z12" s="674" t="str">
        <f>IF(AF15,Feedback_List!B29,IF(Milestone_3!AF14,Feedback_List!C29,IF(Milestone_3!Q13,Feedback_List!C29," ")))</f>
        <v xml:space="preserve"> </v>
      </c>
      <c r="AA12" s="675"/>
      <c r="AB12" s="675"/>
      <c r="AC12" s="676"/>
      <c r="AD12" s="12"/>
      <c r="AF12" s="123">
        <f>IF(Q12, 1, 0)</f>
        <v>0</v>
      </c>
      <c r="AG12" s="122">
        <f>IF(AF12,7,IF(AF13,4,IF(AF14,2,IF(AF15,0,0))))</f>
        <v>0</v>
      </c>
      <c r="AH12" s="699"/>
      <c r="AL12" s="102"/>
      <c r="AM12" s="207"/>
    </row>
    <row r="13" spans="2:39" ht="33" customHeight="1">
      <c r="B13" s="9"/>
      <c r="C13" s="629"/>
      <c r="D13" s="630"/>
      <c r="E13" s="630"/>
      <c r="F13" s="631"/>
      <c r="G13" s="12"/>
      <c r="H13" s="173"/>
      <c r="I13" s="9"/>
      <c r="J13" s="624"/>
      <c r="K13" s="617"/>
      <c r="L13" s="618"/>
      <c r="M13" s="619"/>
      <c r="N13" s="24"/>
      <c r="O13" s="695" t="s">
        <v>237</v>
      </c>
      <c r="P13" s="697"/>
      <c r="Q13" s="134" t="b">
        <v>0</v>
      </c>
      <c r="R13" s="10"/>
      <c r="S13" s="776"/>
      <c r="T13" s="777"/>
      <c r="U13" s="777"/>
      <c r="V13" s="778"/>
      <c r="W13" s="12"/>
      <c r="X13" s="173"/>
      <c r="Y13" s="9"/>
      <c r="Z13" s="662"/>
      <c r="AA13" s="663"/>
      <c r="AB13" s="663"/>
      <c r="AC13" s="664"/>
      <c r="AD13" s="12"/>
      <c r="AF13" s="123">
        <f t="shared" ref="AF13:AF15" si="1">IF(Q13, 1, 0)</f>
        <v>0</v>
      </c>
      <c r="AG13" s="122"/>
      <c r="AH13" s="699"/>
    </row>
    <row r="14" spans="2:39" ht="33" customHeight="1">
      <c r="B14" s="9"/>
      <c r="C14" s="629"/>
      <c r="D14" s="630"/>
      <c r="E14" s="630"/>
      <c r="F14" s="631"/>
      <c r="G14" s="12"/>
      <c r="H14" s="173"/>
      <c r="I14" s="9"/>
      <c r="J14" s="624"/>
      <c r="K14" s="617"/>
      <c r="L14" s="618"/>
      <c r="M14" s="619"/>
      <c r="N14" s="24"/>
      <c r="O14" s="695" t="s">
        <v>225</v>
      </c>
      <c r="P14" s="697"/>
      <c r="Q14" s="134" t="b">
        <v>0</v>
      </c>
      <c r="R14" s="10"/>
      <c r="S14" s="776"/>
      <c r="T14" s="777"/>
      <c r="U14" s="777"/>
      <c r="V14" s="778"/>
      <c r="W14" s="12"/>
      <c r="X14" s="173"/>
      <c r="Y14" s="9"/>
      <c r="Z14" s="662"/>
      <c r="AA14" s="663"/>
      <c r="AB14" s="663"/>
      <c r="AC14" s="664"/>
      <c r="AD14" s="12"/>
      <c r="AF14" s="123">
        <f t="shared" si="1"/>
        <v>0</v>
      </c>
      <c r="AG14" s="122"/>
      <c r="AH14" s="699"/>
    </row>
    <row r="15" spans="2:39" ht="33" customHeight="1">
      <c r="B15" s="9"/>
      <c r="C15" s="629"/>
      <c r="D15" s="630"/>
      <c r="E15" s="630"/>
      <c r="F15" s="631"/>
      <c r="G15" s="12"/>
      <c r="H15" s="173"/>
      <c r="I15" s="9"/>
      <c r="J15" s="625"/>
      <c r="K15" s="620"/>
      <c r="L15" s="621"/>
      <c r="M15" s="622"/>
      <c r="N15" s="24"/>
      <c r="O15" s="695" t="s">
        <v>223</v>
      </c>
      <c r="P15" s="697"/>
      <c r="Q15" s="134" t="b">
        <v>0</v>
      </c>
      <c r="R15" s="10"/>
      <c r="S15" s="779"/>
      <c r="T15" s="780"/>
      <c r="U15" s="780"/>
      <c r="V15" s="781"/>
      <c r="W15" s="12"/>
      <c r="X15" s="173"/>
      <c r="Y15" s="9"/>
      <c r="Z15" s="665"/>
      <c r="AA15" s="666"/>
      <c r="AB15" s="666"/>
      <c r="AC15" s="667"/>
      <c r="AD15" s="12"/>
      <c r="AF15" s="123">
        <f t="shared" si="1"/>
        <v>0</v>
      </c>
      <c r="AG15" s="122"/>
      <c r="AH15" s="699"/>
    </row>
    <row r="16" spans="2:39">
      <c r="B16" s="9"/>
      <c r="C16" s="629"/>
      <c r="D16" s="630"/>
      <c r="E16" s="630"/>
      <c r="F16" s="631"/>
      <c r="G16" s="12"/>
      <c r="H16" s="173"/>
      <c r="I16" s="9"/>
      <c r="J16" s="65"/>
      <c r="K16" s="232"/>
      <c r="L16" s="232"/>
      <c r="M16" s="232"/>
      <c r="N16" s="10"/>
      <c r="O16" s="62"/>
      <c r="P16" s="62"/>
      <c r="Q16" s="18"/>
      <c r="R16" s="10"/>
      <c r="S16" s="10"/>
      <c r="T16" s="10"/>
      <c r="U16" s="10"/>
      <c r="V16" s="10"/>
      <c r="W16" s="12"/>
      <c r="X16" s="173"/>
      <c r="Y16" s="9"/>
      <c r="Z16" s="214"/>
      <c r="AA16" s="214"/>
      <c r="AB16" s="214"/>
      <c r="AC16" s="214"/>
      <c r="AD16" s="12"/>
      <c r="AF16" s="123"/>
      <c r="AG16" s="122"/>
      <c r="AH16" s="699"/>
    </row>
    <row r="17" spans="2:34" ht="25.5" customHeight="1">
      <c r="B17" s="9"/>
      <c r="C17" s="629"/>
      <c r="D17" s="630"/>
      <c r="E17" s="630"/>
      <c r="F17" s="631"/>
      <c r="G17" s="12"/>
      <c r="H17" s="173"/>
      <c r="I17" s="9"/>
      <c r="J17" s="690">
        <v>1.3</v>
      </c>
      <c r="K17" s="793" t="s">
        <v>285</v>
      </c>
      <c r="L17" s="794"/>
      <c r="M17" s="795"/>
      <c r="N17" s="10"/>
      <c r="O17" s="811" t="s">
        <v>31</v>
      </c>
      <c r="P17" s="812"/>
      <c r="Q17" s="815" t="b">
        <v>0</v>
      </c>
      <c r="R17" s="10"/>
      <c r="S17" s="773" t="s">
        <v>80</v>
      </c>
      <c r="T17" s="774"/>
      <c r="U17" s="774"/>
      <c r="V17" s="775"/>
      <c r="W17" s="12"/>
      <c r="X17" s="173"/>
      <c r="Y17" s="9"/>
      <c r="Z17" s="659" t="str">
        <f>IF(AF19,Feedback_List!B30," ")</f>
        <v xml:space="preserve"> </v>
      </c>
      <c r="AA17" s="660"/>
      <c r="AB17" s="660"/>
      <c r="AC17" s="661"/>
      <c r="AD17" s="12"/>
      <c r="AF17" s="123">
        <f>IF(Q17, 1, 0)</f>
        <v>0</v>
      </c>
      <c r="AG17" s="122">
        <f>IF(AF17,5,IF(AF19,0,0))</f>
        <v>0</v>
      </c>
      <c r="AH17" s="699"/>
    </row>
    <row r="18" spans="2:34" ht="25.5" customHeight="1">
      <c r="B18" s="9"/>
      <c r="C18" s="629"/>
      <c r="D18" s="630"/>
      <c r="E18" s="630"/>
      <c r="F18" s="631"/>
      <c r="G18" s="12"/>
      <c r="H18" s="173"/>
      <c r="I18" s="9"/>
      <c r="J18" s="624"/>
      <c r="K18" s="796"/>
      <c r="L18" s="797"/>
      <c r="M18" s="798"/>
      <c r="N18" s="10"/>
      <c r="O18" s="813"/>
      <c r="P18" s="814"/>
      <c r="Q18" s="815"/>
      <c r="R18" s="10"/>
      <c r="S18" s="776"/>
      <c r="T18" s="777"/>
      <c r="U18" s="777"/>
      <c r="V18" s="778"/>
      <c r="W18" s="12"/>
      <c r="X18" s="173"/>
      <c r="Y18" s="9"/>
      <c r="Z18" s="662"/>
      <c r="AA18" s="663"/>
      <c r="AB18" s="663"/>
      <c r="AC18" s="664"/>
      <c r="AD18" s="12"/>
      <c r="AF18" s="123"/>
      <c r="AG18" s="122"/>
      <c r="AH18" s="699"/>
    </row>
    <row r="19" spans="2:34" ht="25.5" customHeight="1">
      <c r="B19" s="9"/>
      <c r="C19" s="629"/>
      <c r="D19" s="630"/>
      <c r="E19" s="630"/>
      <c r="F19" s="631"/>
      <c r="G19" s="12"/>
      <c r="H19" s="173"/>
      <c r="I19" s="9"/>
      <c r="J19" s="624"/>
      <c r="K19" s="796"/>
      <c r="L19" s="797"/>
      <c r="M19" s="798"/>
      <c r="N19" s="10"/>
      <c r="O19" s="811" t="s">
        <v>71</v>
      </c>
      <c r="P19" s="812"/>
      <c r="Q19" s="815" t="b">
        <v>0</v>
      </c>
      <c r="R19" s="10"/>
      <c r="S19" s="776"/>
      <c r="T19" s="777"/>
      <c r="U19" s="777"/>
      <c r="V19" s="778"/>
      <c r="W19" s="12"/>
      <c r="X19" s="173"/>
      <c r="Y19" s="9"/>
      <c r="Z19" s="662"/>
      <c r="AA19" s="663"/>
      <c r="AB19" s="663"/>
      <c r="AC19" s="664"/>
      <c r="AD19" s="12"/>
      <c r="AF19" s="123">
        <f>IF(Q19, 1, 0)</f>
        <v>0</v>
      </c>
      <c r="AG19" s="122"/>
      <c r="AH19" s="699"/>
    </row>
    <row r="20" spans="2:34" ht="25.5" customHeight="1">
      <c r="B20" s="9"/>
      <c r="C20" s="629"/>
      <c r="D20" s="630"/>
      <c r="E20" s="630"/>
      <c r="F20" s="631"/>
      <c r="G20" s="12"/>
      <c r="H20" s="173"/>
      <c r="I20" s="9"/>
      <c r="J20" s="625"/>
      <c r="K20" s="799"/>
      <c r="L20" s="800"/>
      <c r="M20" s="801"/>
      <c r="N20" s="10"/>
      <c r="O20" s="813"/>
      <c r="P20" s="814"/>
      <c r="Q20" s="815"/>
      <c r="R20" s="10"/>
      <c r="S20" s="779"/>
      <c r="T20" s="780"/>
      <c r="U20" s="780"/>
      <c r="V20" s="781"/>
      <c r="W20" s="12"/>
      <c r="X20" s="173"/>
      <c r="Y20" s="9"/>
      <c r="Z20" s="665"/>
      <c r="AA20" s="666"/>
      <c r="AB20" s="666"/>
      <c r="AC20" s="667"/>
      <c r="AD20" s="12"/>
      <c r="AF20" s="123"/>
      <c r="AG20" s="122"/>
      <c r="AH20" s="699"/>
    </row>
    <row r="21" spans="2:34">
      <c r="B21" s="9"/>
      <c r="C21" s="629"/>
      <c r="D21" s="630"/>
      <c r="E21" s="630"/>
      <c r="F21" s="631"/>
      <c r="G21" s="12"/>
      <c r="H21" s="173"/>
      <c r="I21" s="9"/>
      <c r="J21" s="135"/>
      <c r="K21" s="232"/>
      <c r="L21" s="232"/>
      <c r="M21" s="232"/>
      <c r="N21" s="10"/>
      <c r="O21" s="62"/>
      <c r="P21" s="62"/>
      <c r="Q21" s="18"/>
      <c r="R21" s="10"/>
      <c r="S21" s="136"/>
      <c r="T21" s="136"/>
      <c r="U21" s="136"/>
      <c r="V21" s="136"/>
      <c r="W21" s="12"/>
      <c r="X21" s="173"/>
      <c r="Y21" s="9"/>
      <c r="Z21" s="286"/>
      <c r="AA21" s="285"/>
      <c r="AB21" s="285"/>
      <c r="AC21" s="285"/>
      <c r="AD21" s="12"/>
      <c r="AF21" s="123"/>
      <c r="AG21" s="122"/>
      <c r="AH21" s="699"/>
    </row>
    <row r="22" spans="2:34" ht="38" customHeight="1">
      <c r="B22" s="9"/>
      <c r="C22" s="629"/>
      <c r="D22" s="630"/>
      <c r="E22" s="630"/>
      <c r="F22" s="631"/>
      <c r="G22" s="12"/>
      <c r="H22" s="173"/>
      <c r="I22" s="9"/>
      <c r="J22" s="768">
        <v>1.4</v>
      </c>
      <c r="K22" s="759" t="s">
        <v>286</v>
      </c>
      <c r="L22" s="760"/>
      <c r="M22" s="761"/>
      <c r="N22" s="10"/>
      <c r="O22" s="771" t="s">
        <v>238</v>
      </c>
      <c r="P22" s="772"/>
      <c r="Q22" s="134" t="b">
        <v>0</v>
      </c>
      <c r="R22" s="10"/>
      <c r="S22" s="773" t="s">
        <v>80</v>
      </c>
      <c r="T22" s="774"/>
      <c r="U22" s="774"/>
      <c r="V22" s="775"/>
      <c r="W22" s="12"/>
      <c r="X22" s="173"/>
      <c r="Y22" s="9"/>
      <c r="Z22" s="587" t="str">
        <f>IF(OR(AF25,AF24),Feedback_List!B31, " ")</f>
        <v xml:space="preserve"> </v>
      </c>
      <c r="AA22" s="588"/>
      <c r="AB22" s="588"/>
      <c r="AC22" s="589"/>
      <c r="AD22" s="12"/>
      <c r="AF22" s="123">
        <f>IF(Q22, 1, 0)</f>
        <v>0</v>
      </c>
      <c r="AG22" s="122">
        <f>IF(AF22,5,IF(AF23,3,IF(AF24,0,0)))</f>
        <v>0</v>
      </c>
      <c r="AH22" s="699"/>
    </row>
    <row r="23" spans="2:34" ht="38" customHeight="1">
      <c r="B23" s="9"/>
      <c r="C23" s="629"/>
      <c r="D23" s="630"/>
      <c r="E23" s="630"/>
      <c r="F23" s="631"/>
      <c r="G23" s="12"/>
      <c r="H23" s="173"/>
      <c r="I23" s="9"/>
      <c r="J23" s="769"/>
      <c r="K23" s="762"/>
      <c r="L23" s="763"/>
      <c r="M23" s="764"/>
      <c r="N23" s="10"/>
      <c r="O23" s="771" t="s">
        <v>240</v>
      </c>
      <c r="P23" s="772"/>
      <c r="Q23" s="134" t="b">
        <v>0</v>
      </c>
      <c r="R23" s="10"/>
      <c r="S23" s="776"/>
      <c r="T23" s="777"/>
      <c r="U23" s="777"/>
      <c r="V23" s="778"/>
      <c r="W23" s="12"/>
      <c r="X23" s="173"/>
      <c r="Y23" s="9"/>
      <c r="Z23" s="590"/>
      <c r="AA23" s="591"/>
      <c r="AB23" s="591"/>
      <c r="AC23" s="592"/>
      <c r="AD23" s="12"/>
      <c r="AF23" s="123">
        <f>IF(Q23, 1, 0)</f>
        <v>0</v>
      </c>
      <c r="AG23" s="122"/>
      <c r="AH23" s="699"/>
    </row>
    <row r="24" spans="2:34" ht="38" customHeight="1">
      <c r="B24" s="9"/>
      <c r="C24" s="629"/>
      <c r="D24" s="630"/>
      <c r="E24" s="630"/>
      <c r="F24" s="631"/>
      <c r="G24" s="12"/>
      <c r="H24" s="173"/>
      <c r="I24" s="9"/>
      <c r="J24" s="769"/>
      <c r="K24" s="762"/>
      <c r="L24" s="763"/>
      <c r="M24" s="764"/>
      <c r="N24" s="10"/>
      <c r="O24" s="771" t="s">
        <v>239</v>
      </c>
      <c r="P24" s="772"/>
      <c r="Q24" s="134" t="b">
        <v>0</v>
      </c>
      <c r="R24" s="10"/>
      <c r="S24" s="776"/>
      <c r="T24" s="777"/>
      <c r="U24" s="777"/>
      <c r="V24" s="778"/>
      <c r="W24" s="12"/>
      <c r="X24" s="173"/>
      <c r="Y24" s="9"/>
      <c r="Z24" s="590"/>
      <c r="AA24" s="591"/>
      <c r="AB24" s="591"/>
      <c r="AC24" s="592"/>
      <c r="AD24" s="12"/>
      <c r="AF24" s="123">
        <f t="shared" ref="AF24:AF25" si="2">IF(Q24, 1, 0)</f>
        <v>0</v>
      </c>
      <c r="AG24" s="122"/>
      <c r="AH24" s="699"/>
    </row>
    <row r="25" spans="2:34" ht="38" customHeight="1">
      <c r="B25" s="9"/>
      <c r="C25" s="629"/>
      <c r="D25" s="630"/>
      <c r="E25" s="630"/>
      <c r="F25" s="631"/>
      <c r="G25" s="12"/>
      <c r="H25" s="173"/>
      <c r="I25" s="9"/>
      <c r="J25" s="770"/>
      <c r="K25" s="765"/>
      <c r="L25" s="766"/>
      <c r="M25" s="767"/>
      <c r="N25" s="10"/>
      <c r="O25" s="771" t="s">
        <v>834</v>
      </c>
      <c r="P25" s="772"/>
      <c r="Q25" s="134" t="b">
        <v>0</v>
      </c>
      <c r="R25" s="10"/>
      <c r="S25" s="779"/>
      <c r="T25" s="780"/>
      <c r="U25" s="780"/>
      <c r="V25" s="781"/>
      <c r="W25" s="12"/>
      <c r="X25" s="173"/>
      <c r="Y25" s="9"/>
      <c r="Z25" s="593"/>
      <c r="AA25" s="594"/>
      <c r="AB25" s="594"/>
      <c r="AC25" s="595"/>
      <c r="AD25" s="12"/>
      <c r="AF25" s="123">
        <f t="shared" si="2"/>
        <v>0</v>
      </c>
      <c r="AG25" s="122"/>
      <c r="AH25" s="699"/>
    </row>
    <row r="26" spans="2:34">
      <c r="B26" s="9"/>
      <c r="C26" s="629"/>
      <c r="D26" s="630"/>
      <c r="E26" s="630"/>
      <c r="F26" s="631"/>
      <c r="G26" s="12"/>
      <c r="H26" s="173"/>
      <c r="I26" s="9"/>
      <c r="J26" s="65"/>
      <c r="K26" s="232"/>
      <c r="L26" s="232"/>
      <c r="M26" s="232"/>
      <c r="N26" s="10"/>
      <c r="O26" s="62"/>
      <c r="P26" s="62"/>
      <c r="Q26" s="18"/>
      <c r="R26" s="10"/>
      <c r="S26" s="136"/>
      <c r="T26" s="136"/>
      <c r="U26" s="136"/>
      <c r="V26" s="136"/>
      <c r="W26" s="12"/>
      <c r="X26" s="173"/>
      <c r="Y26" s="9"/>
      <c r="Z26" s="214"/>
      <c r="AA26" s="214"/>
      <c r="AB26" s="214"/>
      <c r="AC26" s="214"/>
      <c r="AD26" s="12"/>
      <c r="AF26" s="123"/>
      <c r="AG26" s="122"/>
      <c r="AH26" s="699"/>
    </row>
    <row r="27" spans="2:34" ht="25.5" customHeight="1">
      <c r="B27" s="9"/>
      <c r="C27" s="629"/>
      <c r="D27" s="630"/>
      <c r="E27" s="630"/>
      <c r="F27" s="631"/>
      <c r="G27" s="12"/>
      <c r="H27" s="173"/>
      <c r="I27" s="9"/>
      <c r="J27" s="768">
        <v>1.5</v>
      </c>
      <c r="K27" s="793" t="s">
        <v>287</v>
      </c>
      <c r="L27" s="794"/>
      <c r="M27" s="795"/>
      <c r="N27" s="10"/>
      <c r="O27" s="771" t="s">
        <v>852</v>
      </c>
      <c r="P27" s="772"/>
      <c r="Q27" s="134" t="b">
        <v>0</v>
      </c>
      <c r="R27" s="10"/>
      <c r="S27" s="773" t="s">
        <v>80</v>
      </c>
      <c r="T27" s="774"/>
      <c r="U27" s="774"/>
      <c r="V27" s="775"/>
      <c r="W27" s="12"/>
      <c r="X27" s="173"/>
      <c r="Y27" s="9"/>
      <c r="Z27" s="674" t="str">
        <f>IF(Milestone_3!AF30,Feedback_List!B32,IF(Milestone_3!AF29,Feedback_List!C32,IF(Milestone_3!AF28,Feedback_List!C32," ")))</f>
        <v xml:space="preserve"> </v>
      </c>
      <c r="AA27" s="675"/>
      <c r="AB27" s="675"/>
      <c r="AC27" s="676"/>
      <c r="AD27" s="12"/>
      <c r="AF27" s="123">
        <f>IF(Q27, 1, 0)</f>
        <v>0</v>
      </c>
      <c r="AG27" s="122">
        <f>IF(AF27,7,IF(AF28,3,IF(AF29,2,IF(AF30,0,0))))</f>
        <v>0</v>
      </c>
      <c r="AH27" s="699"/>
    </row>
    <row r="28" spans="2:34" ht="25.5" customHeight="1">
      <c r="B28" s="9"/>
      <c r="C28" s="629"/>
      <c r="D28" s="630"/>
      <c r="E28" s="630"/>
      <c r="F28" s="631"/>
      <c r="G28" s="12"/>
      <c r="H28" s="173"/>
      <c r="I28" s="9"/>
      <c r="J28" s="769"/>
      <c r="K28" s="796"/>
      <c r="L28" s="797"/>
      <c r="M28" s="798"/>
      <c r="N28" s="10"/>
      <c r="O28" s="771" t="s">
        <v>853</v>
      </c>
      <c r="P28" s="772"/>
      <c r="Q28" s="134" t="b">
        <v>0</v>
      </c>
      <c r="R28" s="10"/>
      <c r="S28" s="776"/>
      <c r="T28" s="777"/>
      <c r="U28" s="777"/>
      <c r="V28" s="778"/>
      <c r="W28" s="12"/>
      <c r="X28" s="173"/>
      <c r="Y28" s="9"/>
      <c r="Z28" s="662"/>
      <c r="AA28" s="663"/>
      <c r="AB28" s="663"/>
      <c r="AC28" s="664"/>
      <c r="AD28" s="12"/>
      <c r="AF28" s="123">
        <f t="shared" ref="AF28:AF30" si="3">IF(Q28, 1, 0)</f>
        <v>0</v>
      </c>
      <c r="AG28" s="122"/>
      <c r="AH28" s="699"/>
    </row>
    <row r="29" spans="2:34" ht="25.5" customHeight="1">
      <c r="B29" s="9"/>
      <c r="C29" s="629"/>
      <c r="D29" s="630"/>
      <c r="E29" s="630"/>
      <c r="F29" s="631"/>
      <c r="G29" s="12"/>
      <c r="H29" s="173"/>
      <c r="I29" s="9"/>
      <c r="J29" s="769"/>
      <c r="K29" s="796"/>
      <c r="L29" s="797"/>
      <c r="M29" s="798"/>
      <c r="N29" s="10"/>
      <c r="O29" s="771" t="s">
        <v>241</v>
      </c>
      <c r="P29" s="772"/>
      <c r="Q29" s="134" t="b">
        <v>0</v>
      </c>
      <c r="R29" s="10"/>
      <c r="S29" s="776"/>
      <c r="T29" s="777"/>
      <c r="U29" s="777"/>
      <c r="V29" s="778"/>
      <c r="W29" s="12"/>
      <c r="X29" s="173"/>
      <c r="Y29" s="9"/>
      <c r="Z29" s="662"/>
      <c r="AA29" s="663"/>
      <c r="AB29" s="663"/>
      <c r="AC29" s="664"/>
      <c r="AD29" s="12"/>
      <c r="AF29" s="123">
        <f t="shared" si="3"/>
        <v>0</v>
      </c>
      <c r="AG29" s="122"/>
      <c r="AH29" s="699"/>
    </row>
    <row r="30" spans="2:34" ht="25.5" customHeight="1">
      <c r="B30" s="9"/>
      <c r="C30" s="629"/>
      <c r="D30" s="630"/>
      <c r="E30" s="630"/>
      <c r="F30" s="631"/>
      <c r="G30" s="12"/>
      <c r="H30" s="173"/>
      <c r="I30" s="9"/>
      <c r="J30" s="770"/>
      <c r="K30" s="799"/>
      <c r="L30" s="800"/>
      <c r="M30" s="801"/>
      <c r="N30" s="10"/>
      <c r="O30" s="771" t="s">
        <v>223</v>
      </c>
      <c r="P30" s="772"/>
      <c r="Q30" s="134" t="b">
        <v>0</v>
      </c>
      <c r="R30" s="10"/>
      <c r="S30" s="779"/>
      <c r="T30" s="780"/>
      <c r="U30" s="780"/>
      <c r="V30" s="781"/>
      <c r="W30" s="12"/>
      <c r="X30" s="173"/>
      <c r="Y30" s="9"/>
      <c r="Z30" s="665"/>
      <c r="AA30" s="666"/>
      <c r="AB30" s="666"/>
      <c r="AC30" s="667"/>
      <c r="AD30" s="12"/>
      <c r="AF30" s="123">
        <f t="shared" si="3"/>
        <v>0</v>
      </c>
      <c r="AG30" s="122"/>
      <c r="AH30" s="699"/>
    </row>
    <row r="31" spans="2:34">
      <c r="B31" s="9"/>
      <c r="C31" s="629"/>
      <c r="D31" s="630"/>
      <c r="E31" s="630"/>
      <c r="F31" s="631"/>
      <c r="G31" s="12"/>
      <c r="H31" s="173"/>
      <c r="I31" s="9"/>
      <c r="J31" s="65"/>
      <c r="K31" s="232"/>
      <c r="L31" s="232"/>
      <c r="M31" s="232"/>
      <c r="N31" s="10"/>
      <c r="O31" s="62"/>
      <c r="P31" s="62"/>
      <c r="Q31" s="18"/>
      <c r="R31" s="10"/>
      <c r="S31" s="10"/>
      <c r="T31" s="10"/>
      <c r="U31" s="10"/>
      <c r="V31" s="10"/>
      <c r="W31" s="12"/>
      <c r="X31" s="173"/>
      <c r="Y31" s="9"/>
      <c r="Z31" s="214"/>
      <c r="AA31" s="214"/>
      <c r="AB31" s="214"/>
      <c r="AC31" s="214"/>
      <c r="AD31" s="12"/>
      <c r="AF31" s="123"/>
      <c r="AG31" s="122"/>
      <c r="AH31" s="699"/>
    </row>
    <row r="32" spans="2:34" ht="35.5" customHeight="1">
      <c r="B32" s="9"/>
      <c r="C32" s="629"/>
      <c r="D32" s="630"/>
      <c r="E32" s="630"/>
      <c r="F32" s="631"/>
      <c r="G32" s="12"/>
      <c r="H32" s="173"/>
      <c r="I32" s="9"/>
      <c r="J32" s="768">
        <v>1.6</v>
      </c>
      <c r="K32" s="759" t="s">
        <v>288</v>
      </c>
      <c r="L32" s="760"/>
      <c r="M32" s="761"/>
      <c r="N32" s="10"/>
      <c r="O32" s="548" t="s">
        <v>242</v>
      </c>
      <c r="P32" s="550"/>
      <c r="Q32" s="134" t="b">
        <v>0</v>
      </c>
      <c r="R32" s="10"/>
      <c r="S32" s="773" t="s">
        <v>80</v>
      </c>
      <c r="T32" s="774"/>
      <c r="U32" s="774"/>
      <c r="V32" s="775"/>
      <c r="W32" s="12"/>
      <c r="X32" s="173"/>
      <c r="Y32" s="9"/>
      <c r="Z32" s="587" t="str">
        <f>IF(OR(AF35,AF34),Feedback_List!B33," ")</f>
        <v xml:space="preserve"> </v>
      </c>
      <c r="AA32" s="588"/>
      <c r="AB32" s="588"/>
      <c r="AC32" s="589"/>
      <c r="AD32" s="12"/>
      <c r="AF32" s="123">
        <f>IF(Q32, 1, 0)</f>
        <v>0</v>
      </c>
      <c r="AG32" s="122">
        <f>IF(AF32,5,IF(AF33,3,IF(AF34,0,0)))</f>
        <v>0</v>
      </c>
      <c r="AH32" s="699"/>
    </row>
    <row r="33" spans="2:34" ht="35.5" customHeight="1">
      <c r="B33" s="9"/>
      <c r="C33" s="629"/>
      <c r="D33" s="630"/>
      <c r="E33" s="630"/>
      <c r="F33" s="631"/>
      <c r="G33" s="12"/>
      <c r="H33" s="173"/>
      <c r="I33" s="9"/>
      <c r="J33" s="769"/>
      <c r="K33" s="762"/>
      <c r="L33" s="763"/>
      <c r="M33" s="764"/>
      <c r="N33" s="10"/>
      <c r="O33" s="771" t="s">
        <v>243</v>
      </c>
      <c r="P33" s="772"/>
      <c r="Q33" s="134" t="b">
        <v>0</v>
      </c>
      <c r="R33" s="10"/>
      <c r="S33" s="776"/>
      <c r="T33" s="777"/>
      <c r="U33" s="777"/>
      <c r="V33" s="778"/>
      <c r="W33" s="12"/>
      <c r="X33" s="173"/>
      <c r="Y33" s="9"/>
      <c r="Z33" s="590"/>
      <c r="AA33" s="591"/>
      <c r="AB33" s="591"/>
      <c r="AC33" s="592"/>
      <c r="AD33" s="12"/>
      <c r="AF33" s="123">
        <f>IF(Q33, 1, 0)</f>
        <v>0</v>
      </c>
      <c r="AG33" s="122"/>
      <c r="AH33" s="699"/>
    </row>
    <row r="34" spans="2:34" ht="35.5" customHeight="1">
      <c r="B34" s="9"/>
      <c r="C34" s="629"/>
      <c r="D34" s="630"/>
      <c r="E34" s="630"/>
      <c r="F34" s="631"/>
      <c r="G34" s="12"/>
      <c r="H34" s="173"/>
      <c r="I34" s="9"/>
      <c r="J34" s="769"/>
      <c r="K34" s="762"/>
      <c r="L34" s="763"/>
      <c r="M34" s="764"/>
      <c r="N34" s="10"/>
      <c r="O34" s="771" t="s">
        <v>239</v>
      </c>
      <c r="P34" s="772"/>
      <c r="Q34" s="134" t="b">
        <v>0</v>
      </c>
      <c r="R34" s="10"/>
      <c r="S34" s="776"/>
      <c r="T34" s="777"/>
      <c r="U34" s="777"/>
      <c r="V34" s="778"/>
      <c r="W34" s="12"/>
      <c r="X34" s="173"/>
      <c r="Y34" s="9"/>
      <c r="Z34" s="590"/>
      <c r="AA34" s="591"/>
      <c r="AB34" s="591"/>
      <c r="AC34" s="592"/>
      <c r="AD34" s="12"/>
      <c r="AF34" s="123">
        <f t="shared" ref="AF34:AF35" si="4">IF(Q34, 1, 0)</f>
        <v>0</v>
      </c>
      <c r="AG34" s="122"/>
      <c r="AH34" s="699"/>
    </row>
    <row r="35" spans="2:34" ht="35.5" customHeight="1">
      <c r="B35" s="9"/>
      <c r="C35" s="629"/>
      <c r="D35" s="630"/>
      <c r="E35" s="630"/>
      <c r="F35" s="631"/>
      <c r="G35" s="12"/>
      <c r="H35" s="173"/>
      <c r="I35" s="9"/>
      <c r="J35" s="770"/>
      <c r="K35" s="765"/>
      <c r="L35" s="766"/>
      <c r="M35" s="767"/>
      <c r="N35" s="10"/>
      <c r="O35" s="771" t="s">
        <v>244</v>
      </c>
      <c r="P35" s="772"/>
      <c r="Q35" s="134" t="b">
        <v>0</v>
      </c>
      <c r="R35" s="10"/>
      <c r="S35" s="779"/>
      <c r="T35" s="780"/>
      <c r="U35" s="780"/>
      <c r="V35" s="781"/>
      <c r="W35" s="12"/>
      <c r="X35" s="173"/>
      <c r="Y35" s="9"/>
      <c r="Z35" s="593"/>
      <c r="AA35" s="594"/>
      <c r="AB35" s="594"/>
      <c r="AC35" s="595"/>
      <c r="AD35" s="12"/>
      <c r="AF35" s="123">
        <f t="shared" si="4"/>
        <v>0</v>
      </c>
      <c r="AG35" s="122"/>
      <c r="AH35" s="699"/>
    </row>
    <row r="36" spans="2:34">
      <c r="B36" s="9"/>
      <c r="C36" s="629"/>
      <c r="D36" s="630"/>
      <c r="E36" s="630"/>
      <c r="F36" s="631"/>
      <c r="G36" s="12"/>
      <c r="H36" s="173"/>
      <c r="I36" s="9"/>
      <c r="J36" s="65"/>
      <c r="K36" s="232"/>
      <c r="L36" s="232"/>
      <c r="M36" s="232"/>
      <c r="N36" s="10"/>
      <c r="O36" s="62"/>
      <c r="P36" s="62"/>
      <c r="Q36" s="18"/>
      <c r="R36" s="10"/>
      <c r="S36" s="10"/>
      <c r="T36" s="10"/>
      <c r="U36" s="10"/>
      <c r="V36" s="10"/>
      <c r="W36" s="12"/>
      <c r="X36" s="173"/>
      <c r="Y36" s="9"/>
      <c r="Z36" s="214"/>
      <c r="AA36" s="214"/>
      <c r="AB36" s="214"/>
      <c r="AC36" s="214"/>
      <c r="AD36" s="12"/>
      <c r="AF36" s="123"/>
      <c r="AG36" s="122"/>
      <c r="AH36" s="699"/>
    </row>
    <row r="37" spans="2:34" ht="63.5" customHeight="1">
      <c r="B37" s="9"/>
      <c r="C37" s="629"/>
      <c r="D37" s="630"/>
      <c r="E37" s="630"/>
      <c r="F37" s="631"/>
      <c r="G37" s="12"/>
      <c r="H37" s="173"/>
      <c r="I37" s="9"/>
      <c r="J37" s="792">
        <v>1.7</v>
      </c>
      <c r="K37" s="787" t="s">
        <v>289</v>
      </c>
      <c r="L37" s="787"/>
      <c r="M37" s="787"/>
      <c r="N37" s="10"/>
      <c r="O37" s="771" t="s">
        <v>245</v>
      </c>
      <c r="P37" s="772"/>
      <c r="Q37" s="134" t="b">
        <v>0</v>
      </c>
      <c r="R37" s="10"/>
      <c r="S37" s="784" t="s">
        <v>80</v>
      </c>
      <c r="T37" s="784"/>
      <c r="U37" s="784"/>
      <c r="V37" s="784"/>
      <c r="W37" s="12"/>
      <c r="X37" s="173"/>
      <c r="Y37" s="9"/>
      <c r="Z37" s="786" t="str">
        <f>IF(AF40,Feedback_List!B34,IF(AF39,Feedback_List!C34, " "))</f>
        <v xml:space="preserve"> </v>
      </c>
      <c r="AA37" s="786"/>
      <c r="AB37" s="786"/>
      <c r="AC37" s="786"/>
      <c r="AD37" s="12"/>
      <c r="AF37" s="123">
        <f>IF(Q37, 1, 0)</f>
        <v>0</v>
      </c>
      <c r="AG37" s="122">
        <f>IF(AF37,5,IF(AF38,3,IF(AF39,2,IF(AF40,0,0))))</f>
        <v>0</v>
      </c>
      <c r="AH37" s="699"/>
    </row>
    <row r="38" spans="2:34" ht="63.5" customHeight="1">
      <c r="B38" s="9"/>
      <c r="C38" s="629"/>
      <c r="D38" s="630"/>
      <c r="E38" s="630"/>
      <c r="F38" s="631"/>
      <c r="G38" s="12"/>
      <c r="H38" s="173"/>
      <c r="I38" s="9"/>
      <c r="J38" s="792"/>
      <c r="K38" s="787"/>
      <c r="L38" s="787"/>
      <c r="M38" s="787"/>
      <c r="N38" s="10"/>
      <c r="O38" s="771" t="s">
        <v>246</v>
      </c>
      <c r="P38" s="772"/>
      <c r="Q38" s="134" t="b">
        <v>0</v>
      </c>
      <c r="R38" s="10"/>
      <c r="S38" s="784"/>
      <c r="T38" s="784"/>
      <c r="U38" s="784"/>
      <c r="V38" s="784"/>
      <c r="W38" s="12"/>
      <c r="X38" s="173"/>
      <c r="Y38" s="9"/>
      <c r="Z38" s="786"/>
      <c r="AA38" s="786"/>
      <c r="AB38" s="786"/>
      <c r="AC38" s="786"/>
      <c r="AD38" s="12"/>
      <c r="AF38" s="123">
        <f t="shared" ref="AF38:AF40" si="5">IF(Q38, 1, 0)</f>
        <v>0</v>
      </c>
      <c r="AG38" s="122"/>
      <c r="AH38" s="699"/>
    </row>
    <row r="39" spans="2:34" ht="63.5" customHeight="1">
      <c r="B39" s="9"/>
      <c r="C39" s="629"/>
      <c r="D39" s="630"/>
      <c r="E39" s="630"/>
      <c r="F39" s="631"/>
      <c r="G39" s="12"/>
      <c r="H39" s="173"/>
      <c r="I39" s="9"/>
      <c r="J39" s="792"/>
      <c r="K39" s="787"/>
      <c r="L39" s="787"/>
      <c r="M39" s="787"/>
      <c r="N39" s="10"/>
      <c r="O39" s="771" t="s">
        <v>247</v>
      </c>
      <c r="P39" s="772"/>
      <c r="Q39" s="134" t="b">
        <v>0</v>
      </c>
      <c r="R39" s="10"/>
      <c r="S39" s="784"/>
      <c r="T39" s="784"/>
      <c r="U39" s="784"/>
      <c r="V39" s="784"/>
      <c r="W39" s="12"/>
      <c r="X39" s="173"/>
      <c r="Y39" s="9"/>
      <c r="Z39" s="786"/>
      <c r="AA39" s="786"/>
      <c r="AB39" s="786"/>
      <c r="AC39" s="786"/>
      <c r="AD39" s="12"/>
      <c r="AF39" s="123">
        <f t="shared" si="5"/>
        <v>0</v>
      </c>
      <c r="AG39" s="122"/>
      <c r="AH39" s="699"/>
    </row>
    <row r="40" spans="2:34" ht="63.5" customHeight="1">
      <c r="B40" s="9"/>
      <c r="C40" s="629"/>
      <c r="D40" s="630"/>
      <c r="E40" s="630"/>
      <c r="F40" s="631"/>
      <c r="G40" s="12"/>
      <c r="H40" s="173"/>
      <c r="I40" s="9"/>
      <c r="J40" s="792"/>
      <c r="K40" s="787"/>
      <c r="L40" s="787"/>
      <c r="M40" s="787"/>
      <c r="N40" s="10"/>
      <c r="O40" s="771" t="s">
        <v>223</v>
      </c>
      <c r="P40" s="772"/>
      <c r="Q40" s="134" t="b">
        <v>0</v>
      </c>
      <c r="R40" s="10"/>
      <c r="S40" s="784"/>
      <c r="T40" s="784"/>
      <c r="U40" s="784"/>
      <c r="V40" s="784"/>
      <c r="W40" s="12"/>
      <c r="X40" s="173"/>
      <c r="Y40" s="9"/>
      <c r="Z40" s="786"/>
      <c r="AA40" s="786"/>
      <c r="AB40" s="786"/>
      <c r="AC40" s="786"/>
      <c r="AD40" s="12"/>
      <c r="AF40" s="123">
        <f t="shared" si="5"/>
        <v>0</v>
      </c>
      <c r="AG40" s="122"/>
      <c r="AH40" s="699"/>
    </row>
    <row r="41" spans="2:34">
      <c r="B41" s="9"/>
      <c r="C41" s="629"/>
      <c r="D41" s="630"/>
      <c r="E41" s="630"/>
      <c r="F41" s="631"/>
      <c r="G41" s="12"/>
      <c r="H41" s="173"/>
      <c r="I41" s="9"/>
      <c r="J41" s="65"/>
      <c r="K41" s="232"/>
      <c r="L41" s="232"/>
      <c r="M41" s="232"/>
      <c r="N41" s="10"/>
      <c r="O41" s="62"/>
      <c r="P41" s="62"/>
      <c r="Q41" s="18"/>
      <c r="R41" s="10"/>
      <c r="S41" s="10"/>
      <c r="T41" s="10"/>
      <c r="U41" s="10"/>
      <c r="V41" s="10"/>
      <c r="W41" s="12"/>
      <c r="X41" s="173"/>
      <c r="Y41" s="9"/>
      <c r="Z41" s="214"/>
      <c r="AA41" s="214"/>
      <c r="AB41" s="214"/>
      <c r="AC41" s="214"/>
      <c r="AD41" s="12"/>
      <c r="AF41" s="123"/>
      <c r="AG41" s="122"/>
      <c r="AH41" s="699"/>
    </row>
    <row r="42" spans="2:34" ht="24.5" customHeight="1">
      <c r="B42" s="9"/>
      <c r="C42" s="629"/>
      <c r="D42" s="630"/>
      <c r="E42" s="630"/>
      <c r="F42" s="631"/>
      <c r="G42" s="12"/>
      <c r="H42" s="173"/>
      <c r="I42" s="9"/>
      <c r="J42" s="768">
        <v>1.8</v>
      </c>
      <c r="K42" s="793" t="s">
        <v>290</v>
      </c>
      <c r="L42" s="794"/>
      <c r="M42" s="795"/>
      <c r="N42" s="10"/>
      <c r="O42" s="771" t="s">
        <v>248</v>
      </c>
      <c r="P42" s="772"/>
      <c r="Q42" s="134" t="b">
        <v>0</v>
      </c>
      <c r="R42" s="10"/>
      <c r="S42" s="773" t="s">
        <v>80</v>
      </c>
      <c r="T42" s="774"/>
      <c r="U42" s="774"/>
      <c r="V42" s="775"/>
      <c r="W42" s="12"/>
      <c r="X42" s="173"/>
      <c r="Y42" s="9"/>
      <c r="Z42" s="786" t="str">
        <f>IF(AF45,Feedback_List!B35,IF(Milestone_3!AF44,Feedback_List!C35,IF(Milestone_3!AF43,Feedback_List!C35," ")))</f>
        <v xml:space="preserve"> </v>
      </c>
      <c r="AA42" s="786"/>
      <c r="AB42" s="786"/>
      <c r="AC42" s="786"/>
      <c r="AD42" s="12"/>
      <c r="AF42" s="123">
        <f t="shared" ref="AF42:AF45" si="6">IF(Q42, 1, 0)</f>
        <v>0</v>
      </c>
      <c r="AG42" s="122">
        <f>IF(AF42,7,IF(AF43,3,IF(AF44,2,IF(AF45,0,0))))</f>
        <v>0</v>
      </c>
      <c r="AH42" s="699"/>
    </row>
    <row r="43" spans="2:34" ht="24.5" customHeight="1">
      <c r="B43" s="9"/>
      <c r="C43" s="629"/>
      <c r="D43" s="630"/>
      <c r="E43" s="630"/>
      <c r="F43" s="631"/>
      <c r="G43" s="12"/>
      <c r="H43" s="173"/>
      <c r="I43" s="9"/>
      <c r="J43" s="769"/>
      <c r="K43" s="796"/>
      <c r="L43" s="797"/>
      <c r="M43" s="798"/>
      <c r="N43" s="10"/>
      <c r="O43" s="218" t="s">
        <v>509</v>
      </c>
      <c r="P43" s="217"/>
      <c r="Q43" s="134" t="b">
        <v>0</v>
      </c>
      <c r="R43" s="10"/>
      <c r="S43" s="776"/>
      <c r="T43" s="777"/>
      <c r="U43" s="777"/>
      <c r="V43" s="778"/>
      <c r="W43" s="12"/>
      <c r="X43" s="173"/>
      <c r="Y43" s="9"/>
      <c r="Z43" s="582"/>
      <c r="AA43" s="582"/>
      <c r="AB43" s="582"/>
      <c r="AC43" s="582"/>
      <c r="AD43" s="12"/>
      <c r="AF43" s="123">
        <f t="shared" si="6"/>
        <v>0</v>
      </c>
      <c r="AG43" s="122"/>
      <c r="AH43" s="699"/>
    </row>
    <row r="44" spans="2:34" ht="24.5" customHeight="1">
      <c r="B44" s="9"/>
      <c r="C44" s="629"/>
      <c r="D44" s="630"/>
      <c r="E44" s="630"/>
      <c r="F44" s="631"/>
      <c r="G44" s="12"/>
      <c r="H44" s="173"/>
      <c r="I44" s="9"/>
      <c r="J44" s="769"/>
      <c r="K44" s="796"/>
      <c r="L44" s="797"/>
      <c r="M44" s="798"/>
      <c r="N44" s="10"/>
      <c r="O44" s="771" t="s">
        <v>225</v>
      </c>
      <c r="P44" s="772"/>
      <c r="Q44" s="134" t="b">
        <v>0</v>
      </c>
      <c r="R44" s="10"/>
      <c r="S44" s="776"/>
      <c r="T44" s="777"/>
      <c r="U44" s="777"/>
      <c r="V44" s="778"/>
      <c r="W44" s="12"/>
      <c r="X44" s="173"/>
      <c r="Y44" s="9"/>
      <c r="Z44" s="786"/>
      <c r="AA44" s="786"/>
      <c r="AB44" s="786"/>
      <c r="AC44" s="786"/>
      <c r="AD44" s="12"/>
      <c r="AF44" s="123">
        <f t="shared" si="6"/>
        <v>0</v>
      </c>
      <c r="AG44" s="122"/>
      <c r="AH44" s="699"/>
    </row>
    <row r="45" spans="2:34" ht="24.5" customHeight="1">
      <c r="B45" s="9"/>
      <c r="C45" s="629"/>
      <c r="D45" s="630"/>
      <c r="E45" s="630"/>
      <c r="F45" s="631"/>
      <c r="G45" s="12"/>
      <c r="H45" s="173"/>
      <c r="I45" s="9"/>
      <c r="J45" s="770"/>
      <c r="K45" s="799"/>
      <c r="L45" s="800"/>
      <c r="M45" s="801"/>
      <c r="N45" s="10"/>
      <c r="O45" s="771" t="s">
        <v>223</v>
      </c>
      <c r="P45" s="772"/>
      <c r="Q45" s="134" t="b">
        <v>0</v>
      </c>
      <c r="R45" s="10"/>
      <c r="S45" s="779"/>
      <c r="T45" s="780"/>
      <c r="U45" s="780"/>
      <c r="V45" s="781"/>
      <c r="W45" s="12"/>
      <c r="X45" s="173"/>
      <c r="Y45" s="9"/>
      <c r="Z45" s="786"/>
      <c r="AA45" s="786"/>
      <c r="AB45" s="786"/>
      <c r="AC45" s="786"/>
      <c r="AD45" s="12"/>
      <c r="AF45" s="123">
        <f t="shared" si="6"/>
        <v>0</v>
      </c>
      <c r="AG45" s="122"/>
      <c r="AH45" s="699"/>
    </row>
    <row r="46" spans="2:34">
      <c r="B46" s="9"/>
      <c r="C46" s="629"/>
      <c r="D46" s="630"/>
      <c r="E46" s="630"/>
      <c r="F46" s="631"/>
      <c r="G46" s="12"/>
      <c r="H46" s="173"/>
      <c r="I46" s="9"/>
      <c r="J46" s="65"/>
      <c r="K46" s="232"/>
      <c r="L46" s="232"/>
      <c r="M46" s="232"/>
      <c r="N46" s="10"/>
      <c r="O46" s="62"/>
      <c r="P46" s="62"/>
      <c r="Q46" s="18"/>
      <c r="R46" s="10"/>
      <c r="S46" s="10"/>
      <c r="T46" s="10"/>
      <c r="U46" s="10"/>
      <c r="V46" s="10"/>
      <c r="W46" s="12"/>
      <c r="X46" s="173"/>
      <c r="Y46" s="9"/>
      <c r="Z46" s="214"/>
      <c r="AA46" s="214"/>
      <c r="AB46" s="214"/>
      <c r="AC46" s="214"/>
      <c r="AD46" s="12"/>
      <c r="AF46" s="123"/>
      <c r="AG46" s="122"/>
      <c r="AH46" s="699"/>
    </row>
    <row r="47" spans="2:34" ht="51" customHeight="1">
      <c r="B47" s="9"/>
      <c r="C47" s="629"/>
      <c r="D47" s="630"/>
      <c r="E47" s="630"/>
      <c r="F47" s="631"/>
      <c r="G47" s="12"/>
      <c r="H47" s="173"/>
      <c r="I47" s="9"/>
      <c r="J47" s="768">
        <v>1.9</v>
      </c>
      <c r="K47" s="759" t="s">
        <v>291</v>
      </c>
      <c r="L47" s="760"/>
      <c r="M47" s="761"/>
      <c r="N47" s="10"/>
      <c r="O47" s="771" t="s">
        <v>467</v>
      </c>
      <c r="P47" s="772"/>
      <c r="Q47" s="134" t="b">
        <v>0</v>
      </c>
      <c r="R47" s="10"/>
      <c r="S47" s="784" t="s">
        <v>80</v>
      </c>
      <c r="T47" s="784"/>
      <c r="U47" s="784"/>
      <c r="V47" s="784"/>
      <c r="W47" s="12"/>
      <c r="X47" s="173"/>
      <c r="Y47" s="9"/>
      <c r="Z47" s="582" t="str">
        <f>IF(AF50,Feedback_List!B36,IF(AF49,Feedback_List!C36," "))</f>
        <v xml:space="preserve"> </v>
      </c>
      <c r="AA47" s="582"/>
      <c r="AB47" s="582"/>
      <c r="AC47" s="582"/>
      <c r="AD47" s="12"/>
      <c r="AF47" s="123">
        <f>IF(Q47, 1, 0)</f>
        <v>0</v>
      </c>
      <c r="AG47" s="122">
        <f>IF(AF47,7,IF(AF48,0,IF(AF49,0,0)))</f>
        <v>0</v>
      </c>
      <c r="AH47" s="699"/>
    </row>
    <row r="48" spans="2:34" ht="51" customHeight="1">
      <c r="B48" s="9"/>
      <c r="C48" s="629"/>
      <c r="D48" s="630"/>
      <c r="E48" s="630"/>
      <c r="F48" s="631"/>
      <c r="G48" s="12"/>
      <c r="H48" s="173"/>
      <c r="I48" s="9"/>
      <c r="J48" s="769"/>
      <c r="K48" s="762"/>
      <c r="L48" s="763"/>
      <c r="M48" s="764"/>
      <c r="N48" s="10"/>
      <c r="O48" s="771" t="s">
        <v>1051</v>
      </c>
      <c r="P48" s="772"/>
      <c r="Q48" s="134" t="b">
        <v>0</v>
      </c>
      <c r="R48" s="10"/>
      <c r="S48" s="784"/>
      <c r="T48" s="784"/>
      <c r="U48" s="784"/>
      <c r="V48" s="784"/>
      <c r="W48" s="12"/>
      <c r="X48" s="173"/>
      <c r="Y48" s="9"/>
      <c r="Z48" s="582"/>
      <c r="AA48" s="582"/>
      <c r="AB48" s="582"/>
      <c r="AC48" s="582"/>
      <c r="AD48" s="12"/>
      <c r="AF48" s="123">
        <f>IF(Q48, 1, 0)</f>
        <v>0</v>
      </c>
      <c r="AG48" s="122"/>
      <c r="AH48" s="699"/>
    </row>
    <row r="49" spans="2:34" ht="51" customHeight="1">
      <c r="B49" s="9"/>
      <c r="C49" s="629"/>
      <c r="D49" s="630"/>
      <c r="E49" s="630"/>
      <c r="F49" s="631"/>
      <c r="G49" s="12"/>
      <c r="H49" s="173"/>
      <c r="I49" s="9"/>
      <c r="J49" s="769"/>
      <c r="K49" s="762"/>
      <c r="L49" s="763"/>
      <c r="M49" s="764"/>
      <c r="N49" s="10"/>
      <c r="O49" s="771" t="s">
        <v>249</v>
      </c>
      <c r="P49" s="772"/>
      <c r="Q49" s="134" t="b">
        <v>0</v>
      </c>
      <c r="R49" s="10"/>
      <c r="S49" s="784"/>
      <c r="T49" s="784"/>
      <c r="U49" s="784"/>
      <c r="V49" s="784"/>
      <c r="W49" s="12"/>
      <c r="X49" s="173"/>
      <c r="Y49" s="9"/>
      <c r="Z49" s="582"/>
      <c r="AA49" s="582"/>
      <c r="AB49" s="582"/>
      <c r="AC49" s="582"/>
      <c r="AD49" s="12"/>
      <c r="AF49" s="123">
        <f t="shared" ref="AF49:AF50" si="7">IF(Q49, 1, 0)</f>
        <v>0</v>
      </c>
      <c r="AG49" s="122"/>
      <c r="AH49" s="699"/>
    </row>
    <row r="50" spans="2:34" ht="51" customHeight="1">
      <c r="B50" s="9"/>
      <c r="C50" s="629"/>
      <c r="D50" s="630"/>
      <c r="E50" s="630"/>
      <c r="F50" s="631"/>
      <c r="G50" s="12"/>
      <c r="H50" s="173"/>
      <c r="I50" s="9"/>
      <c r="J50" s="770"/>
      <c r="K50" s="765"/>
      <c r="L50" s="766"/>
      <c r="M50" s="767"/>
      <c r="N50" s="10"/>
      <c r="O50" s="788" t="s">
        <v>223</v>
      </c>
      <c r="P50" s="788"/>
      <c r="Q50" s="134" t="b">
        <v>0</v>
      </c>
      <c r="R50" s="10"/>
      <c r="S50" s="784"/>
      <c r="T50" s="784"/>
      <c r="U50" s="784"/>
      <c r="V50" s="784"/>
      <c r="W50" s="12"/>
      <c r="X50" s="173"/>
      <c r="Y50" s="9"/>
      <c r="Z50" s="582"/>
      <c r="AA50" s="582"/>
      <c r="AB50" s="582"/>
      <c r="AC50" s="582"/>
      <c r="AD50" s="12"/>
      <c r="AF50" s="123">
        <f t="shared" si="7"/>
        <v>0</v>
      </c>
      <c r="AG50" s="122"/>
      <c r="AH50" s="699"/>
    </row>
    <row r="51" spans="2:34">
      <c r="B51" s="9"/>
      <c r="C51" s="629"/>
      <c r="D51" s="630"/>
      <c r="E51" s="630"/>
      <c r="F51" s="631"/>
      <c r="G51" s="12"/>
      <c r="H51" s="173"/>
      <c r="I51" s="9"/>
      <c r="J51" s="65"/>
      <c r="K51" s="232"/>
      <c r="L51" s="232"/>
      <c r="M51" s="232"/>
      <c r="N51" s="10"/>
      <c r="O51" s="62"/>
      <c r="P51" s="62"/>
      <c r="Q51" s="18"/>
      <c r="R51" s="10"/>
      <c r="S51" s="10"/>
      <c r="T51" s="10"/>
      <c r="U51" s="10"/>
      <c r="V51" s="10"/>
      <c r="W51" s="12"/>
      <c r="X51" s="173"/>
      <c r="Y51" s="9"/>
      <c r="Z51" s="214"/>
      <c r="AA51" s="214"/>
      <c r="AB51" s="214"/>
      <c r="AC51" s="214"/>
      <c r="AD51" s="12"/>
      <c r="AF51" s="123"/>
      <c r="AG51" s="122"/>
      <c r="AH51" s="699"/>
    </row>
    <row r="52" spans="2:34" ht="18" customHeight="1">
      <c r="B52" s="9"/>
      <c r="C52" s="629"/>
      <c r="D52" s="630"/>
      <c r="E52" s="630"/>
      <c r="F52" s="631"/>
      <c r="G52" s="12"/>
      <c r="H52" s="173"/>
      <c r="I52" s="9"/>
      <c r="J52" s="816">
        <v>1.1000000000000001</v>
      </c>
      <c r="K52" s="787" t="s">
        <v>292</v>
      </c>
      <c r="L52" s="787"/>
      <c r="M52" s="787"/>
      <c r="N52" s="10"/>
      <c r="O52" s="771" t="s">
        <v>250</v>
      </c>
      <c r="P52" s="772"/>
      <c r="Q52" s="134" t="b">
        <v>0</v>
      </c>
      <c r="R52" s="10"/>
      <c r="S52" s="784" t="s">
        <v>80</v>
      </c>
      <c r="T52" s="784"/>
      <c r="U52" s="784"/>
      <c r="V52" s="784"/>
      <c r="W52" s="12"/>
      <c r="X52" s="173"/>
      <c r="Y52" s="9"/>
      <c r="Z52" s="786" t="str">
        <f>IF(AF55,Feedback_List!B37, " ")</f>
        <v xml:space="preserve"> </v>
      </c>
      <c r="AA52" s="786"/>
      <c r="AB52" s="786"/>
      <c r="AC52" s="786"/>
      <c r="AD52" s="12"/>
      <c r="AF52" s="123">
        <f>IF(Q52, 1, 0)</f>
        <v>0</v>
      </c>
      <c r="AG52" s="122">
        <f>IF(AF52,5,IF(AF53,3,IF(AF54,0,IF(AF55,0,0))))</f>
        <v>0</v>
      </c>
      <c r="AH52" s="699"/>
    </row>
    <row r="53" spans="2:34" ht="18" customHeight="1">
      <c r="B53" s="9"/>
      <c r="C53" s="629"/>
      <c r="D53" s="630"/>
      <c r="E53" s="630"/>
      <c r="F53" s="631"/>
      <c r="G53" s="12"/>
      <c r="H53" s="173"/>
      <c r="I53" s="9"/>
      <c r="J53" s="816"/>
      <c r="K53" s="787"/>
      <c r="L53" s="787"/>
      <c r="M53" s="787"/>
      <c r="N53" s="10"/>
      <c r="O53" s="771" t="s">
        <v>251</v>
      </c>
      <c r="P53" s="772"/>
      <c r="Q53" s="134" t="b">
        <v>0</v>
      </c>
      <c r="R53" s="10"/>
      <c r="S53" s="784"/>
      <c r="T53" s="784"/>
      <c r="U53" s="784"/>
      <c r="V53" s="784"/>
      <c r="W53" s="12"/>
      <c r="X53" s="173"/>
      <c r="Y53" s="9"/>
      <c r="Z53" s="786"/>
      <c r="AA53" s="786"/>
      <c r="AB53" s="786"/>
      <c r="AC53" s="786"/>
      <c r="AD53" s="12"/>
      <c r="AF53" s="123">
        <f t="shared" ref="AF53:AF55" si="8">IF(Q53, 1, 0)</f>
        <v>0</v>
      </c>
      <c r="AG53" s="122"/>
      <c r="AH53" s="699"/>
    </row>
    <row r="54" spans="2:34" ht="18" customHeight="1">
      <c r="B54" s="9"/>
      <c r="C54" s="629"/>
      <c r="D54" s="630"/>
      <c r="E54" s="630"/>
      <c r="F54" s="631"/>
      <c r="G54" s="12"/>
      <c r="H54" s="173"/>
      <c r="I54" s="9"/>
      <c r="J54" s="816"/>
      <c r="K54" s="787"/>
      <c r="L54" s="787"/>
      <c r="M54" s="787"/>
      <c r="N54" s="10"/>
      <c r="O54" s="771" t="s">
        <v>252</v>
      </c>
      <c r="P54" s="772"/>
      <c r="Q54" s="134" t="b">
        <v>0</v>
      </c>
      <c r="R54" s="10"/>
      <c r="S54" s="784"/>
      <c r="T54" s="784"/>
      <c r="U54" s="784"/>
      <c r="V54" s="784"/>
      <c r="W54" s="12"/>
      <c r="X54" s="173"/>
      <c r="Y54" s="9"/>
      <c r="Z54" s="786"/>
      <c r="AA54" s="786"/>
      <c r="AB54" s="786"/>
      <c r="AC54" s="786"/>
      <c r="AD54" s="12"/>
      <c r="AF54" s="123">
        <f t="shared" si="8"/>
        <v>0</v>
      </c>
      <c r="AG54" s="122"/>
      <c r="AH54" s="699"/>
    </row>
    <row r="55" spans="2:34" ht="26.5" customHeight="1">
      <c r="B55" s="9"/>
      <c r="C55" s="629"/>
      <c r="D55" s="630"/>
      <c r="E55" s="630"/>
      <c r="F55" s="631"/>
      <c r="G55" s="12"/>
      <c r="H55" s="173"/>
      <c r="I55" s="9"/>
      <c r="J55" s="816"/>
      <c r="K55" s="787"/>
      <c r="L55" s="787"/>
      <c r="M55" s="787"/>
      <c r="N55" s="10"/>
      <c r="O55" s="771" t="s">
        <v>223</v>
      </c>
      <c r="P55" s="772"/>
      <c r="Q55" s="134" t="b">
        <v>0</v>
      </c>
      <c r="R55" s="10"/>
      <c r="S55" s="784"/>
      <c r="T55" s="784"/>
      <c r="U55" s="784"/>
      <c r="V55" s="784"/>
      <c r="W55" s="12"/>
      <c r="X55" s="173"/>
      <c r="Y55" s="9"/>
      <c r="Z55" s="786"/>
      <c r="AA55" s="786"/>
      <c r="AB55" s="786"/>
      <c r="AC55" s="786"/>
      <c r="AD55" s="12"/>
      <c r="AF55" s="123">
        <f t="shared" si="8"/>
        <v>0</v>
      </c>
      <c r="AG55" s="122"/>
      <c r="AH55" s="699"/>
    </row>
    <row r="56" spans="2:34">
      <c r="B56" s="9"/>
      <c r="C56" s="629"/>
      <c r="D56" s="630"/>
      <c r="E56" s="630"/>
      <c r="F56" s="631"/>
      <c r="G56" s="12"/>
      <c r="H56" s="173"/>
      <c r="I56" s="9"/>
      <c r="J56" s="65"/>
      <c r="K56" s="232"/>
      <c r="L56" s="232"/>
      <c r="M56" s="232"/>
      <c r="N56" s="10"/>
      <c r="O56" s="62"/>
      <c r="P56" s="62"/>
      <c r="Q56" s="18"/>
      <c r="R56" s="10"/>
      <c r="S56" s="10"/>
      <c r="T56" s="10"/>
      <c r="U56" s="10"/>
      <c r="V56" s="10"/>
      <c r="W56" s="12"/>
      <c r="X56" s="173"/>
      <c r="Y56" s="9"/>
      <c r="Z56" s="214"/>
      <c r="AA56" s="214"/>
      <c r="AB56" s="214"/>
      <c r="AC56" s="214"/>
      <c r="AD56" s="12"/>
      <c r="AF56" s="123"/>
      <c r="AG56" s="122"/>
      <c r="AH56" s="699"/>
    </row>
    <row r="57" spans="2:34" ht="33" customHeight="1">
      <c r="B57" s="9"/>
      <c r="C57" s="629"/>
      <c r="D57" s="630"/>
      <c r="E57" s="630"/>
      <c r="F57" s="631"/>
      <c r="G57" s="12"/>
      <c r="H57" s="173"/>
      <c r="I57" s="9"/>
      <c r="J57" s="690">
        <v>1.1100000000000001</v>
      </c>
      <c r="K57" s="802" t="s">
        <v>468</v>
      </c>
      <c r="L57" s="803"/>
      <c r="M57" s="804"/>
      <c r="N57" s="10"/>
      <c r="O57" s="582" t="s">
        <v>469</v>
      </c>
      <c r="P57" s="582"/>
      <c r="Q57" s="183" t="b">
        <v>0</v>
      </c>
      <c r="R57" s="10"/>
      <c r="S57" s="773" t="s">
        <v>80</v>
      </c>
      <c r="T57" s="774"/>
      <c r="U57" s="774"/>
      <c r="V57" s="775"/>
      <c r="W57" s="12"/>
      <c r="X57" s="173"/>
      <c r="Y57" s="9"/>
      <c r="Z57" s="674" t="str">
        <f>IF(Milestone_3!AF61,Feedback_List!B38,IF(Milestone_3!AF60,Feedback_List!C38,IF(Milestone_3!AF59,Feedback_List!C38,IF(Milestone_3!AF58,Feedback_List!C38, " "))))</f>
        <v xml:space="preserve"> </v>
      </c>
      <c r="AA57" s="675"/>
      <c r="AB57" s="675"/>
      <c r="AC57" s="676"/>
      <c r="AD57" s="12"/>
      <c r="AF57" s="123">
        <f>IF(Q57, 1, 0)</f>
        <v>0</v>
      </c>
      <c r="AG57" s="122">
        <f>IF(AF57,7,IF(AF58,5,IF(AF59,3,IF(AF60,2,IF(AF61,0,0)))))</f>
        <v>0</v>
      </c>
      <c r="AH57" s="699"/>
    </row>
    <row r="58" spans="2:34" ht="15.5" customHeight="1">
      <c r="B58" s="9"/>
      <c r="C58" s="629"/>
      <c r="D58" s="630"/>
      <c r="E58" s="630"/>
      <c r="F58" s="631"/>
      <c r="G58" s="12"/>
      <c r="H58" s="173"/>
      <c r="I58" s="9"/>
      <c r="J58" s="624"/>
      <c r="K58" s="805"/>
      <c r="L58" s="806"/>
      <c r="M58" s="807"/>
      <c r="N58" s="10"/>
      <c r="O58" s="582" t="s">
        <v>470</v>
      </c>
      <c r="P58" s="582"/>
      <c r="Q58" s="183" t="b">
        <v>0</v>
      </c>
      <c r="R58" s="10"/>
      <c r="S58" s="776"/>
      <c r="T58" s="777"/>
      <c r="U58" s="777"/>
      <c r="V58" s="778"/>
      <c r="W58" s="12"/>
      <c r="X58" s="173"/>
      <c r="Y58" s="9"/>
      <c r="Z58" s="662"/>
      <c r="AA58" s="663"/>
      <c r="AB58" s="663"/>
      <c r="AC58" s="664"/>
      <c r="AD58" s="12"/>
      <c r="AF58" s="123">
        <f t="shared" ref="AF58:AF60" si="9">IF(Q58, 1, 0)</f>
        <v>0</v>
      </c>
      <c r="AG58" s="122"/>
      <c r="AH58" s="699"/>
    </row>
    <row r="59" spans="2:34" ht="33" customHeight="1">
      <c r="B59" s="9"/>
      <c r="C59" s="629"/>
      <c r="D59" s="630"/>
      <c r="E59" s="630"/>
      <c r="F59" s="631"/>
      <c r="G59" s="12"/>
      <c r="H59" s="173"/>
      <c r="I59" s="9"/>
      <c r="J59" s="624"/>
      <c r="K59" s="805"/>
      <c r="L59" s="806"/>
      <c r="M59" s="807"/>
      <c r="N59" s="10"/>
      <c r="O59" s="582" t="s">
        <v>471</v>
      </c>
      <c r="P59" s="582"/>
      <c r="Q59" s="183" t="b">
        <v>0</v>
      </c>
      <c r="R59" s="10"/>
      <c r="S59" s="776"/>
      <c r="T59" s="777"/>
      <c r="U59" s="777"/>
      <c r="V59" s="778"/>
      <c r="W59" s="12"/>
      <c r="X59" s="173"/>
      <c r="Y59" s="9"/>
      <c r="Z59" s="662"/>
      <c r="AA59" s="663"/>
      <c r="AB59" s="663"/>
      <c r="AC59" s="664"/>
      <c r="AD59" s="12"/>
      <c r="AF59" s="123">
        <f t="shared" si="9"/>
        <v>0</v>
      </c>
      <c r="AG59" s="122"/>
      <c r="AH59" s="699"/>
    </row>
    <row r="60" spans="2:34" ht="15.5" customHeight="1">
      <c r="B60" s="9"/>
      <c r="C60" s="629"/>
      <c r="D60" s="630"/>
      <c r="E60" s="630"/>
      <c r="F60" s="631"/>
      <c r="G60" s="12"/>
      <c r="H60" s="173"/>
      <c r="I60" s="9"/>
      <c r="J60" s="624"/>
      <c r="K60" s="805"/>
      <c r="L60" s="806"/>
      <c r="M60" s="807"/>
      <c r="N60" s="10"/>
      <c r="O60" s="582" t="s">
        <v>472</v>
      </c>
      <c r="P60" s="582"/>
      <c r="Q60" s="183" t="b">
        <v>0</v>
      </c>
      <c r="R60" s="10"/>
      <c r="S60" s="776"/>
      <c r="T60" s="777"/>
      <c r="U60" s="777"/>
      <c r="V60" s="778"/>
      <c r="W60" s="12"/>
      <c r="X60" s="173"/>
      <c r="Y60" s="9"/>
      <c r="Z60" s="662"/>
      <c r="AA60" s="663"/>
      <c r="AB60" s="663"/>
      <c r="AC60" s="664"/>
      <c r="AD60" s="12"/>
      <c r="AF60" s="123">
        <f t="shared" si="9"/>
        <v>0</v>
      </c>
      <c r="AG60" s="122"/>
      <c r="AH60" s="699"/>
    </row>
    <row r="61" spans="2:34" ht="17" customHeight="1">
      <c r="B61" s="9"/>
      <c r="C61" s="629"/>
      <c r="D61" s="630"/>
      <c r="E61" s="630"/>
      <c r="F61" s="631"/>
      <c r="G61" s="12"/>
      <c r="H61" s="173"/>
      <c r="I61" s="9"/>
      <c r="J61" s="625"/>
      <c r="K61" s="808"/>
      <c r="L61" s="809"/>
      <c r="M61" s="810"/>
      <c r="N61" s="10"/>
      <c r="O61" s="582" t="s">
        <v>222</v>
      </c>
      <c r="P61" s="582"/>
      <c r="Q61" s="184" t="b">
        <v>0</v>
      </c>
      <c r="R61" s="10"/>
      <c r="S61" s="779"/>
      <c r="T61" s="780"/>
      <c r="U61" s="780"/>
      <c r="V61" s="781"/>
      <c r="W61" s="12"/>
      <c r="X61" s="173"/>
      <c r="Y61" s="9"/>
      <c r="Z61" s="665"/>
      <c r="AA61" s="666"/>
      <c r="AB61" s="666"/>
      <c r="AC61" s="667"/>
      <c r="AD61" s="12"/>
      <c r="AF61" s="123">
        <f>IF(Q61, 1, 0)</f>
        <v>0</v>
      </c>
      <c r="AG61" s="122"/>
      <c r="AH61" s="699"/>
    </row>
    <row r="62" spans="2:34">
      <c r="B62" s="9"/>
      <c r="C62" s="629"/>
      <c r="D62" s="630"/>
      <c r="E62" s="630"/>
      <c r="F62" s="631"/>
      <c r="G62" s="12"/>
      <c r="H62" s="173"/>
      <c r="I62" s="9"/>
      <c r="J62" s="65"/>
      <c r="K62" s="232"/>
      <c r="L62" s="232"/>
      <c r="M62" s="232"/>
      <c r="N62" s="10"/>
      <c r="O62" s="62"/>
      <c r="P62" s="62"/>
      <c r="Q62" s="18"/>
      <c r="R62" s="10"/>
      <c r="S62" s="10"/>
      <c r="T62" s="10"/>
      <c r="U62" s="10"/>
      <c r="V62" s="10"/>
      <c r="W62" s="12"/>
      <c r="X62" s="173"/>
      <c r="Y62" s="9"/>
      <c r="Z62" s="214"/>
      <c r="AA62" s="214"/>
      <c r="AB62" s="214"/>
      <c r="AC62" s="214"/>
      <c r="AD62" s="12"/>
      <c r="AF62" s="123"/>
      <c r="AG62" s="122"/>
      <c r="AH62" s="699"/>
    </row>
    <row r="63" spans="2:34" ht="15.5" customHeight="1">
      <c r="B63" s="9"/>
      <c r="C63" s="629"/>
      <c r="D63" s="630"/>
      <c r="E63" s="630"/>
      <c r="F63" s="631"/>
      <c r="G63" s="12"/>
      <c r="H63" s="173"/>
      <c r="I63" s="9"/>
      <c r="J63" s="792">
        <v>1.1200000000000001</v>
      </c>
      <c r="K63" s="787" t="s">
        <v>293</v>
      </c>
      <c r="L63" s="787"/>
      <c r="M63" s="787"/>
      <c r="N63" s="10"/>
      <c r="O63" s="771" t="s">
        <v>253</v>
      </c>
      <c r="P63" s="772"/>
      <c r="Q63" s="134" t="b">
        <v>0</v>
      </c>
      <c r="R63" s="10"/>
      <c r="S63" s="784" t="s">
        <v>80</v>
      </c>
      <c r="T63" s="784"/>
      <c r="U63" s="784"/>
      <c r="V63" s="784"/>
      <c r="W63" s="12"/>
      <c r="X63" s="173"/>
      <c r="Y63" s="9"/>
      <c r="Z63" s="786"/>
      <c r="AA63" s="786"/>
      <c r="AB63" s="786"/>
      <c r="AC63" s="786"/>
      <c r="AD63" s="12"/>
      <c r="AF63" s="123"/>
      <c r="AG63" s="122"/>
      <c r="AH63" s="699"/>
    </row>
    <row r="64" spans="2:34" ht="16">
      <c r="B64" s="9"/>
      <c r="C64" s="629"/>
      <c r="D64" s="630"/>
      <c r="E64" s="630"/>
      <c r="F64" s="631"/>
      <c r="G64" s="12"/>
      <c r="H64" s="173"/>
      <c r="I64" s="9"/>
      <c r="J64" s="792"/>
      <c r="K64" s="787"/>
      <c r="L64" s="787"/>
      <c r="M64" s="787"/>
      <c r="N64" s="10"/>
      <c r="O64" s="771" t="s">
        <v>254</v>
      </c>
      <c r="P64" s="772"/>
      <c r="Q64" s="134" t="b">
        <v>0</v>
      </c>
      <c r="R64" s="10"/>
      <c r="S64" s="784"/>
      <c r="T64" s="784"/>
      <c r="U64" s="784"/>
      <c r="V64" s="784"/>
      <c r="W64" s="12"/>
      <c r="X64" s="173"/>
      <c r="Y64" s="9"/>
      <c r="Z64" s="786"/>
      <c r="AA64" s="786"/>
      <c r="AB64" s="786"/>
      <c r="AC64" s="786"/>
      <c r="AD64" s="12"/>
      <c r="AF64" s="123"/>
      <c r="AG64" s="122"/>
      <c r="AH64" s="699"/>
    </row>
    <row r="65" spans="2:34" ht="16">
      <c r="B65" s="9"/>
      <c r="C65" s="629"/>
      <c r="D65" s="630"/>
      <c r="E65" s="630"/>
      <c r="F65" s="631"/>
      <c r="G65" s="12"/>
      <c r="H65" s="173"/>
      <c r="I65" s="9"/>
      <c r="J65" s="792"/>
      <c r="K65" s="787"/>
      <c r="L65" s="787"/>
      <c r="M65" s="787"/>
      <c r="N65" s="10"/>
      <c r="O65" s="771" t="s">
        <v>255</v>
      </c>
      <c r="P65" s="772"/>
      <c r="Q65" s="134" t="b">
        <v>0</v>
      </c>
      <c r="R65" s="10"/>
      <c r="S65" s="784"/>
      <c r="T65" s="784"/>
      <c r="U65" s="784"/>
      <c r="V65" s="784"/>
      <c r="W65" s="12"/>
      <c r="X65" s="173"/>
      <c r="Y65" s="9"/>
      <c r="Z65" s="786"/>
      <c r="AA65" s="786"/>
      <c r="AB65" s="786"/>
      <c r="AC65" s="786"/>
      <c r="AD65" s="12"/>
      <c r="AF65" s="123"/>
      <c r="AG65" s="122"/>
      <c r="AH65" s="699"/>
    </row>
    <row r="66" spans="2:34" ht="16">
      <c r="B66" s="9"/>
      <c r="C66" s="629"/>
      <c r="D66" s="630"/>
      <c r="E66" s="630"/>
      <c r="F66" s="631"/>
      <c r="G66" s="12"/>
      <c r="H66" s="173"/>
      <c r="I66" s="9"/>
      <c r="J66" s="792"/>
      <c r="K66" s="787"/>
      <c r="L66" s="787"/>
      <c r="M66" s="787"/>
      <c r="N66" s="10"/>
      <c r="O66" s="771" t="s">
        <v>256</v>
      </c>
      <c r="P66" s="772"/>
      <c r="Q66" s="134" t="b">
        <v>0</v>
      </c>
      <c r="R66" s="10"/>
      <c r="S66" s="784"/>
      <c r="T66" s="784"/>
      <c r="U66" s="784"/>
      <c r="V66" s="784"/>
      <c r="W66" s="12"/>
      <c r="X66" s="173"/>
      <c r="Y66" s="9"/>
      <c r="Z66" s="786"/>
      <c r="AA66" s="786"/>
      <c r="AB66" s="786"/>
      <c r="AC66" s="786"/>
      <c r="AD66" s="12"/>
      <c r="AF66" s="123"/>
      <c r="AG66" s="122"/>
      <c r="AH66" s="699"/>
    </row>
    <row r="67" spans="2:34" ht="16">
      <c r="B67" s="9"/>
      <c r="C67" s="629"/>
      <c r="D67" s="630"/>
      <c r="E67" s="630"/>
      <c r="F67" s="631"/>
      <c r="G67" s="12"/>
      <c r="H67" s="173"/>
      <c r="I67" s="9"/>
      <c r="J67" s="792"/>
      <c r="K67" s="787"/>
      <c r="L67" s="787"/>
      <c r="M67" s="787"/>
      <c r="N67" s="10"/>
      <c r="O67" s="771" t="s">
        <v>257</v>
      </c>
      <c r="P67" s="772"/>
      <c r="Q67" s="134" t="b">
        <v>0</v>
      </c>
      <c r="R67" s="10"/>
      <c r="S67" s="784"/>
      <c r="T67" s="784"/>
      <c r="U67" s="784"/>
      <c r="V67" s="784"/>
      <c r="W67" s="12"/>
      <c r="X67" s="173"/>
      <c r="Y67" s="9"/>
      <c r="Z67" s="786"/>
      <c r="AA67" s="786"/>
      <c r="AB67" s="786"/>
      <c r="AC67" s="786"/>
      <c r="AD67" s="12"/>
      <c r="AF67" s="123"/>
      <c r="AG67" s="122"/>
      <c r="AH67" s="699"/>
    </row>
    <row r="68" spans="2:34" ht="16">
      <c r="B68" s="9"/>
      <c r="C68" s="629"/>
      <c r="D68" s="630"/>
      <c r="E68" s="630"/>
      <c r="F68" s="631"/>
      <c r="G68" s="12"/>
      <c r="H68" s="173"/>
      <c r="I68" s="9"/>
      <c r="J68" s="792"/>
      <c r="K68" s="787"/>
      <c r="L68" s="787"/>
      <c r="M68" s="787"/>
      <c r="N68" s="10"/>
      <c r="O68" s="771" t="s">
        <v>258</v>
      </c>
      <c r="P68" s="772"/>
      <c r="Q68" s="134" t="b">
        <v>0</v>
      </c>
      <c r="R68" s="10"/>
      <c r="S68" s="784"/>
      <c r="T68" s="784"/>
      <c r="U68" s="784"/>
      <c r="V68" s="784"/>
      <c r="W68" s="12"/>
      <c r="X68" s="173"/>
      <c r="Y68" s="9"/>
      <c r="Z68" s="786"/>
      <c r="AA68" s="786"/>
      <c r="AB68" s="786"/>
      <c r="AC68" s="786"/>
      <c r="AD68" s="12"/>
      <c r="AF68" s="123"/>
      <c r="AG68" s="122"/>
      <c r="AH68" s="699"/>
    </row>
    <row r="69" spans="2:34" ht="16">
      <c r="B69" s="9"/>
      <c r="C69" s="632"/>
      <c r="D69" s="633"/>
      <c r="E69" s="633"/>
      <c r="F69" s="634"/>
      <c r="G69" s="12"/>
      <c r="H69" s="173"/>
      <c r="I69" s="9"/>
      <c r="J69" s="792"/>
      <c r="K69" s="787"/>
      <c r="L69" s="787"/>
      <c r="M69" s="787"/>
      <c r="N69" s="10"/>
      <c r="O69" s="771" t="s">
        <v>259</v>
      </c>
      <c r="P69" s="772"/>
      <c r="Q69" s="134" t="b">
        <v>0</v>
      </c>
      <c r="R69" s="10"/>
      <c r="S69" s="784"/>
      <c r="T69" s="784"/>
      <c r="U69" s="784"/>
      <c r="V69" s="784"/>
      <c r="W69" s="12"/>
      <c r="X69" s="173"/>
      <c r="Y69" s="9"/>
      <c r="Z69" s="786"/>
      <c r="AA69" s="786"/>
      <c r="AB69" s="786"/>
      <c r="AC69" s="786"/>
      <c r="AD69" s="12"/>
      <c r="AF69" s="110"/>
      <c r="AG69" s="111"/>
      <c r="AH69" s="700"/>
    </row>
    <row r="70" spans="2:34" ht="19" thickBot="1">
      <c r="B70" s="9"/>
      <c r="C70" s="10"/>
      <c r="D70" s="10"/>
      <c r="E70" s="10"/>
      <c r="F70" s="10"/>
      <c r="G70" s="12"/>
      <c r="H70" s="173"/>
      <c r="I70" s="9"/>
      <c r="J70" s="65"/>
      <c r="K70" s="232"/>
      <c r="L70" s="232"/>
      <c r="M70" s="232"/>
      <c r="N70" s="10"/>
      <c r="O70" s="62"/>
      <c r="P70" s="62"/>
      <c r="Q70" s="18"/>
      <c r="R70" s="10"/>
      <c r="S70" s="10"/>
      <c r="T70" s="10"/>
      <c r="U70" s="10"/>
      <c r="V70" s="10"/>
      <c r="W70" s="12"/>
      <c r="X70" s="173"/>
      <c r="Y70" s="9"/>
      <c r="Z70" s="214"/>
      <c r="AA70" s="214"/>
      <c r="AB70" s="214"/>
      <c r="AC70" s="214"/>
      <c r="AD70" s="12"/>
      <c r="AF70" s="129">
        <f>SUM(AF7:AF69)</f>
        <v>0</v>
      </c>
      <c r="AG70" s="129">
        <f>SUM(AG7:AG69)</f>
        <v>0</v>
      </c>
      <c r="AH70" s="129"/>
    </row>
    <row r="71" spans="2:34" ht="19" thickTop="1">
      <c r="B71" s="9"/>
      <c r="C71" s="10"/>
      <c r="D71" s="10"/>
      <c r="E71" s="10"/>
      <c r="F71" s="10"/>
      <c r="G71" s="12"/>
      <c r="H71" s="173"/>
      <c r="I71" s="9"/>
      <c r="J71" s="28" t="s">
        <v>26</v>
      </c>
      <c r="K71" s="225" t="s">
        <v>260</v>
      </c>
      <c r="L71" s="232"/>
      <c r="M71" s="232"/>
      <c r="N71" s="10"/>
      <c r="O71" s="62"/>
      <c r="P71" s="62"/>
      <c r="Q71" s="18"/>
      <c r="R71" s="10"/>
      <c r="S71" s="10"/>
      <c r="T71" s="10"/>
      <c r="U71" s="10"/>
      <c r="V71" s="10"/>
      <c r="W71" s="12"/>
      <c r="X71" s="173"/>
      <c r="Y71" s="9"/>
      <c r="Z71" s="214"/>
      <c r="AA71" s="214"/>
      <c r="AB71" s="214"/>
      <c r="AC71" s="214"/>
      <c r="AD71" s="12"/>
    </row>
    <row r="72" spans="2:34">
      <c r="B72" s="9"/>
      <c r="C72" s="10"/>
      <c r="D72" s="10"/>
      <c r="E72" s="10"/>
      <c r="F72" s="10"/>
      <c r="G72" s="12"/>
      <c r="H72" s="173"/>
      <c r="I72" s="9"/>
      <c r="J72" s="65"/>
      <c r="K72" s="232"/>
      <c r="L72" s="232"/>
      <c r="M72" s="232"/>
      <c r="N72" s="10"/>
      <c r="O72" s="62"/>
      <c r="P72" s="62"/>
      <c r="Q72" s="18"/>
      <c r="R72" s="10"/>
      <c r="S72" s="10"/>
      <c r="T72" s="10"/>
      <c r="U72" s="10"/>
      <c r="V72" s="10"/>
      <c r="W72" s="12"/>
      <c r="X72" s="173"/>
      <c r="Y72" s="9"/>
      <c r="Z72" s="214"/>
      <c r="AA72" s="214"/>
      <c r="AB72" s="214"/>
      <c r="AC72" s="214"/>
      <c r="AD72" s="12"/>
    </row>
    <row r="73" spans="2:34" ht="40" customHeight="1">
      <c r="B73" s="9"/>
      <c r="C73" s="773"/>
      <c r="D73" s="774"/>
      <c r="E73" s="774"/>
      <c r="F73" s="775"/>
      <c r="G73" s="12"/>
      <c r="H73" s="173"/>
      <c r="I73" s="9"/>
      <c r="J73" s="792">
        <v>2.1</v>
      </c>
      <c r="K73" s="787" t="s">
        <v>294</v>
      </c>
      <c r="L73" s="787"/>
      <c r="M73" s="787"/>
      <c r="N73" s="10"/>
      <c r="O73" s="548" t="s">
        <v>261</v>
      </c>
      <c r="P73" s="550"/>
      <c r="Q73" s="134" t="b">
        <v>0</v>
      </c>
      <c r="R73" s="10"/>
      <c r="S73" s="773" t="s">
        <v>80</v>
      </c>
      <c r="T73" s="774"/>
      <c r="U73" s="774"/>
      <c r="V73" s="775"/>
      <c r="W73" s="12"/>
      <c r="X73" s="173"/>
      <c r="Y73" s="9"/>
      <c r="Z73" s="732" t="str">
        <f>IF(OR(AF77,AF78),Feedback_List!B41,IF(OR(AF76,AF75),Feedback_List!C41, " "))</f>
        <v xml:space="preserve"> </v>
      </c>
      <c r="AA73" s="785"/>
      <c r="AB73" s="785"/>
      <c r="AC73" s="733"/>
      <c r="AD73" s="12"/>
      <c r="AF73" s="185">
        <f>IF(Q73, 1, 0)</f>
        <v>0</v>
      </c>
      <c r="AG73" s="186">
        <f>IF(AF73,7,IF(AF74,5,IF(AF75,3,IF(AF76,2,IF(AF77,0,IF(AF78,0,0))))))</f>
        <v>0</v>
      </c>
      <c r="AH73" s="698">
        <f>SUM(AG73:AG110) * AM8</f>
        <v>0</v>
      </c>
    </row>
    <row r="74" spans="2:34" ht="40" customHeight="1">
      <c r="B74" s="9"/>
      <c r="C74" s="776"/>
      <c r="D74" s="777"/>
      <c r="E74" s="777"/>
      <c r="F74" s="778"/>
      <c r="G74" s="12"/>
      <c r="H74" s="173"/>
      <c r="I74" s="9"/>
      <c r="J74" s="792"/>
      <c r="K74" s="787"/>
      <c r="L74" s="787"/>
      <c r="M74" s="787"/>
      <c r="N74" s="10"/>
      <c r="O74" s="548" t="s">
        <v>1052</v>
      </c>
      <c r="P74" s="550"/>
      <c r="Q74" s="134" t="b">
        <v>0</v>
      </c>
      <c r="R74" s="10"/>
      <c r="S74" s="776"/>
      <c r="T74" s="777"/>
      <c r="U74" s="777"/>
      <c r="V74" s="778"/>
      <c r="W74" s="12"/>
      <c r="X74" s="173"/>
      <c r="Y74" s="9"/>
      <c r="Z74" s="590"/>
      <c r="AA74" s="591"/>
      <c r="AB74" s="591"/>
      <c r="AC74" s="592"/>
      <c r="AD74" s="12"/>
      <c r="AF74" s="123">
        <f>IF(Q74, 1, 0)</f>
        <v>0</v>
      </c>
      <c r="AG74" s="122"/>
      <c r="AH74" s="699"/>
    </row>
    <row r="75" spans="2:34" ht="40" customHeight="1">
      <c r="B75" s="9"/>
      <c r="C75" s="776"/>
      <c r="D75" s="777"/>
      <c r="E75" s="777"/>
      <c r="F75" s="778"/>
      <c r="G75" s="12"/>
      <c r="H75" s="173"/>
      <c r="I75" s="9"/>
      <c r="J75" s="792"/>
      <c r="K75" s="787"/>
      <c r="L75" s="787"/>
      <c r="M75" s="787"/>
      <c r="N75" s="10"/>
      <c r="O75" s="771" t="s">
        <v>262</v>
      </c>
      <c r="P75" s="772"/>
      <c r="Q75" s="134" t="b">
        <v>0</v>
      </c>
      <c r="R75" s="10"/>
      <c r="S75" s="776"/>
      <c r="T75" s="777"/>
      <c r="U75" s="777"/>
      <c r="V75" s="778"/>
      <c r="W75" s="12"/>
      <c r="X75" s="173"/>
      <c r="Y75" s="9"/>
      <c r="Z75" s="590"/>
      <c r="AA75" s="591"/>
      <c r="AB75" s="591"/>
      <c r="AC75" s="592"/>
      <c r="AD75" s="12"/>
      <c r="AF75" s="123">
        <f t="shared" ref="AF75:AF78" si="10">IF(Q75, 1, 0)</f>
        <v>0</v>
      </c>
      <c r="AG75" s="122"/>
      <c r="AH75" s="699"/>
    </row>
    <row r="76" spans="2:34" ht="40" customHeight="1">
      <c r="B76" s="9"/>
      <c r="C76" s="776"/>
      <c r="D76" s="777"/>
      <c r="E76" s="777"/>
      <c r="F76" s="778"/>
      <c r="G76" s="12"/>
      <c r="H76" s="173"/>
      <c r="I76" s="9"/>
      <c r="J76" s="792"/>
      <c r="K76" s="787"/>
      <c r="L76" s="787"/>
      <c r="M76" s="787"/>
      <c r="N76" s="10"/>
      <c r="O76" s="771" t="s">
        <v>263</v>
      </c>
      <c r="P76" s="772"/>
      <c r="Q76" s="134" t="b">
        <v>0</v>
      </c>
      <c r="R76" s="10"/>
      <c r="S76" s="776"/>
      <c r="T76" s="777"/>
      <c r="U76" s="777"/>
      <c r="V76" s="778"/>
      <c r="W76" s="12"/>
      <c r="X76" s="173"/>
      <c r="Y76" s="9"/>
      <c r="Z76" s="590"/>
      <c r="AA76" s="591"/>
      <c r="AB76" s="591"/>
      <c r="AC76" s="592"/>
      <c r="AD76" s="12"/>
      <c r="AF76" s="123">
        <f t="shared" si="10"/>
        <v>0</v>
      </c>
      <c r="AG76" s="122"/>
      <c r="AH76" s="699"/>
    </row>
    <row r="77" spans="2:34" ht="40" customHeight="1">
      <c r="B77" s="9"/>
      <c r="C77" s="776"/>
      <c r="D77" s="777"/>
      <c r="E77" s="777"/>
      <c r="F77" s="778"/>
      <c r="G77" s="12"/>
      <c r="H77" s="173"/>
      <c r="I77" s="9"/>
      <c r="J77" s="792"/>
      <c r="K77" s="787"/>
      <c r="L77" s="787"/>
      <c r="M77" s="787"/>
      <c r="N77" s="10"/>
      <c r="O77" s="771" t="s">
        <v>223</v>
      </c>
      <c r="P77" s="772"/>
      <c r="Q77" s="134" t="b">
        <v>0</v>
      </c>
      <c r="R77" s="10"/>
      <c r="S77" s="776"/>
      <c r="T77" s="777"/>
      <c r="U77" s="777"/>
      <c r="V77" s="778"/>
      <c r="W77" s="12"/>
      <c r="X77" s="173"/>
      <c r="Y77" s="9"/>
      <c r="Z77" s="590"/>
      <c r="AA77" s="591"/>
      <c r="AB77" s="591"/>
      <c r="AC77" s="592"/>
      <c r="AD77" s="12"/>
      <c r="AF77" s="123">
        <f t="shared" si="10"/>
        <v>0</v>
      </c>
      <c r="AG77" s="122"/>
      <c r="AH77" s="699"/>
    </row>
    <row r="78" spans="2:34" ht="40" customHeight="1">
      <c r="B78" s="9"/>
      <c r="C78" s="776"/>
      <c r="D78" s="777"/>
      <c r="E78" s="777"/>
      <c r="F78" s="778"/>
      <c r="G78" s="12"/>
      <c r="H78" s="173"/>
      <c r="I78" s="9"/>
      <c r="J78" s="792"/>
      <c r="K78" s="787"/>
      <c r="L78" s="787"/>
      <c r="M78" s="787"/>
      <c r="N78" s="10"/>
      <c r="O78" s="771" t="s">
        <v>264</v>
      </c>
      <c r="P78" s="772"/>
      <c r="Q78" s="134" t="b">
        <v>0</v>
      </c>
      <c r="R78" s="10"/>
      <c r="S78" s="779"/>
      <c r="T78" s="780"/>
      <c r="U78" s="780"/>
      <c r="V78" s="781"/>
      <c r="W78" s="12"/>
      <c r="X78" s="173"/>
      <c r="Y78" s="9"/>
      <c r="Z78" s="593"/>
      <c r="AA78" s="594"/>
      <c r="AB78" s="594"/>
      <c r="AC78" s="595"/>
      <c r="AD78" s="12"/>
      <c r="AF78" s="123">
        <f t="shared" si="10"/>
        <v>0</v>
      </c>
      <c r="AG78" s="122"/>
      <c r="AH78" s="699"/>
    </row>
    <row r="79" spans="2:34">
      <c r="B79" s="9"/>
      <c r="C79" s="776"/>
      <c r="D79" s="777"/>
      <c r="E79" s="777"/>
      <c r="F79" s="778"/>
      <c r="G79" s="12"/>
      <c r="H79" s="173"/>
      <c r="I79" s="9"/>
      <c r="J79" s="65"/>
      <c r="K79" s="232"/>
      <c r="L79" s="232"/>
      <c r="M79" s="232"/>
      <c r="N79" s="10"/>
      <c r="O79" s="62"/>
      <c r="P79" s="62"/>
      <c r="Q79" s="18"/>
      <c r="R79" s="10"/>
      <c r="S79" s="10"/>
      <c r="T79" s="10"/>
      <c r="U79" s="10"/>
      <c r="V79" s="10"/>
      <c r="W79" s="12"/>
      <c r="X79" s="173"/>
      <c r="Y79" s="9"/>
      <c r="Z79" s="214"/>
      <c r="AA79" s="214"/>
      <c r="AB79" s="214"/>
      <c r="AC79" s="214"/>
      <c r="AD79" s="12"/>
      <c r="AF79" s="123"/>
      <c r="AG79" s="122"/>
      <c r="AH79" s="699"/>
    </row>
    <row r="80" spans="2:34" ht="47.5" customHeight="1">
      <c r="B80" s="9"/>
      <c r="C80" s="776"/>
      <c r="D80" s="777"/>
      <c r="E80" s="777"/>
      <c r="F80" s="778"/>
      <c r="G80" s="12"/>
      <c r="H80" s="173"/>
      <c r="I80" s="9"/>
      <c r="J80" s="792">
        <v>2.2000000000000002</v>
      </c>
      <c r="K80" s="787" t="s">
        <v>295</v>
      </c>
      <c r="L80" s="787"/>
      <c r="M80" s="787"/>
      <c r="N80" s="10"/>
      <c r="O80" s="548" t="s">
        <v>266</v>
      </c>
      <c r="P80" s="550"/>
      <c r="Q80" s="134" t="b">
        <v>0</v>
      </c>
      <c r="R80" s="10"/>
      <c r="S80" s="773" t="s">
        <v>80</v>
      </c>
      <c r="T80" s="774"/>
      <c r="U80" s="774"/>
      <c r="V80" s="775"/>
      <c r="W80" s="12"/>
      <c r="X80" s="173"/>
      <c r="Y80" s="9"/>
      <c r="Z80" s="732" t="str">
        <f>IF(OR(AF83,AF82),Feedback_List!B42,IF(Milestone_3!Q81,Feedback_List!C42, " "))</f>
        <v xml:space="preserve"> </v>
      </c>
      <c r="AA80" s="785"/>
      <c r="AB80" s="785"/>
      <c r="AC80" s="733"/>
      <c r="AD80" s="12"/>
      <c r="AF80" s="123">
        <f>IF(Q80,1,0)</f>
        <v>0</v>
      </c>
      <c r="AG80" s="122">
        <f>IF(AF80,5,IF(AF81,3,IF(AF82,0,IF(AF83,0,0))))</f>
        <v>0</v>
      </c>
      <c r="AH80" s="699"/>
    </row>
    <row r="81" spans="2:34" ht="47.5" customHeight="1">
      <c r="B81" s="9"/>
      <c r="C81" s="776"/>
      <c r="D81" s="777"/>
      <c r="E81" s="777"/>
      <c r="F81" s="778"/>
      <c r="G81" s="12"/>
      <c r="H81" s="173"/>
      <c r="I81" s="9"/>
      <c r="J81" s="792"/>
      <c r="K81" s="787"/>
      <c r="L81" s="787"/>
      <c r="M81" s="787"/>
      <c r="N81" s="10"/>
      <c r="O81" s="548" t="s">
        <v>267</v>
      </c>
      <c r="P81" s="550"/>
      <c r="Q81" s="134" t="b">
        <v>0</v>
      </c>
      <c r="R81" s="10"/>
      <c r="S81" s="776"/>
      <c r="T81" s="777"/>
      <c r="U81" s="777"/>
      <c r="V81" s="778"/>
      <c r="W81" s="12"/>
      <c r="X81" s="173"/>
      <c r="Y81" s="9"/>
      <c r="Z81" s="590"/>
      <c r="AA81" s="591"/>
      <c r="AB81" s="591"/>
      <c r="AC81" s="592"/>
      <c r="AD81" s="12"/>
      <c r="AF81" s="123">
        <f t="shared" ref="AF81:AF83" si="11">IF(Q81,1,0)</f>
        <v>0</v>
      </c>
      <c r="AG81" s="122"/>
      <c r="AH81" s="699"/>
    </row>
    <row r="82" spans="2:34" ht="16">
      <c r="B82" s="9"/>
      <c r="C82" s="776"/>
      <c r="D82" s="777"/>
      <c r="E82" s="777"/>
      <c r="F82" s="778"/>
      <c r="G82" s="12"/>
      <c r="H82" s="173"/>
      <c r="I82" s="9"/>
      <c r="J82" s="792"/>
      <c r="K82" s="787"/>
      <c r="L82" s="787"/>
      <c r="M82" s="787"/>
      <c r="N82" s="10"/>
      <c r="O82" s="548" t="s">
        <v>223</v>
      </c>
      <c r="P82" s="550"/>
      <c r="Q82" s="134" t="b">
        <v>0</v>
      </c>
      <c r="R82" s="10"/>
      <c r="S82" s="776"/>
      <c r="T82" s="777"/>
      <c r="U82" s="777"/>
      <c r="V82" s="778"/>
      <c r="W82" s="12"/>
      <c r="X82" s="173"/>
      <c r="Y82" s="9"/>
      <c r="Z82" s="590"/>
      <c r="AA82" s="591"/>
      <c r="AB82" s="591"/>
      <c r="AC82" s="592"/>
      <c r="AD82" s="12"/>
      <c r="AF82" s="123">
        <f t="shared" si="11"/>
        <v>0</v>
      </c>
      <c r="AG82" s="122"/>
      <c r="AH82" s="699"/>
    </row>
    <row r="83" spans="2:34" ht="16">
      <c r="B83" s="9"/>
      <c r="C83" s="776"/>
      <c r="D83" s="777"/>
      <c r="E83" s="777"/>
      <c r="F83" s="778"/>
      <c r="G83" s="12"/>
      <c r="H83" s="173"/>
      <c r="I83" s="9"/>
      <c r="J83" s="792"/>
      <c r="K83" s="787"/>
      <c r="L83" s="787"/>
      <c r="M83" s="787"/>
      <c r="N83" s="10"/>
      <c r="O83" s="771" t="s">
        <v>265</v>
      </c>
      <c r="P83" s="772"/>
      <c r="Q83" s="134" t="b">
        <v>0</v>
      </c>
      <c r="R83" s="10"/>
      <c r="S83" s="779"/>
      <c r="T83" s="780"/>
      <c r="U83" s="780"/>
      <c r="V83" s="781"/>
      <c r="W83" s="12"/>
      <c r="X83" s="173"/>
      <c r="Y83" s="9"/>
      <c r="Z83" s="593"/>
      <c r="AA83" s="594"/>
      <c r="AB83" s="594"/>
      <c r="AC83" s="595"/>
      <c r="AD83" s="12"/>
      <c r="AF83" s="123">
        <f t="shared" si="11"/>
        <v>0</v>
      </c>
      <c r="AG83" s="122"/>
      <c r="AH83" s="699"/>
    </row>
    <row r="84" spans="2:34">
      <c r="B84" s="9"/>
      <c r="C84" s="776"/>
      <c r="D84" s="777"/>
      <c r="E84" s="777"/>
      <c r="F84" s="778"/>
      <c r="G84" s="12"/>
      <c r="H84" s="173"/>
      <c r="I84" s="9"/>
      <c r="J84" s="65"/>
      <c r="K84" s="232"/>
      <c r="L84" s="232"/>
      <c r="M84" s="232"/>
      <c r="N84" s="10"/>
      <c r="O84" s="62"/>
      <c r="P84" s="62"/>
      <c r="Q84" s="18"/>
      <c r="R84" s="10"/>
      <c r="S84" s="10"/>
      <c r="T84" s="10"/>
      <c r="U84" s="10"/>
      <c r="V84" s="10"/>
      <c r="W84" s="12"/>
      <c r="X84" s="173"/>
      <c r="Y84" s="9"/>
      <c r="Z84" s="214"/>
      <c r="AA84" s="214"/>
      <c r="AB84" s="214"/>
      <c r="AC84" s="214"/>
      <c r="AD84" s="12"/>
      <c r="AF84" s="123"/>
      <c r="AG84" s="122"/>
      <c r="AH84" s="699"/>
    </row>
    <row r="85" spans="2:34" ht="15.5" customHeight="1">
      <c r="B85" s="9"/>
      <c r="C85" s="776"/>
      <c r="D85" s="777"/>
      <c r="E85" s="777"/>
      <c r="F85" s="778"/>
      <c r="G85" s="12"/>
      <c r="H85" s="173"/>
      <c r="I85" s="9"/>
      <c r="J85" s="792">
        <v>2.2999999999999998</v>
      </c>
      <c r="K85" s="787" t="s">
        <v>487</v>
      </c>
      <c r="L85" s="787"/>
      <c r="M85" s="787"/>
      <c r="N85" s="10"/>
      <c r="O85" s="190" t="s">
        <v>268</v>
      </c>
      <c r="P85" s="782"/>
      <c r="Q85" s="783"/>
      <c r="R85" s="10"/>
      <c r="S85" s="784" t="s">
        <v>80</v>
      </c>
      <c r="T85" s="784"/>
      <c r="U85" s="784"/>
      <c r="V85" s="784"/>
      <c r="W85" s="12"/>
      <c r="X85" s="173"/>
      <c r="Y85" s="9"/>
      <c r="Z85" s="582"/>
      <c r="AA85" s="582"/>
      <c r="AB85" s="582"/>
      <c r="AC85" s="582"/>
      <c r="AD85" s="12"/>
      <c r="AF85" s="123"/>
      <c r="AG85" s="122"/>
      <c r="AH85" s="699"/>
    </row>
    <row r="86" spans="2:34" ht="16">
      <c r="B86" s="9"/>
      <c r="C86" s="776"/>
      <c r="D86" s="777"/>
      <c r="E86" s="777"/>
      <c r="F86" s="778"/>
      <c r="G86" s="12"/>
      <c r="H86" s="173"/>
      <c r="I86" s="9"/>
      <c r="J86" s="792"/>
      <c r="K86" s="787"/>
      <c r="L86" s="787"/>
      <c r="M86" s="787"/>
      <c r="N86" s="10"/>
      <c r="O86" s="190" t="s">
        <v>270</v>
      </c>
      <c r="P86" s="782"/>
      <c r="Q86" s="783"/>
      <c r="R86" s="10"/>
      <c r="S86" s="784"/>
      <c r="T86" s="784"/>
      <c r="U86" s="784"/>
      <c r="V86" s="784"/>
      <c r="W86" s="12"/>
      <c r="X86" s="173"/>
      <c r="Y86" s="9"/>
      <c r="Z86" s="582"/>
      <c r="AA86" s="582"/>
      <c r="AB86" s="582"/>
      <c r="AC86" s="582"/>
      <c r="AD86" s="12"/>
      <c r="AF86" s="123"/>
      <c r="AG86" s="122"/>
      <c r="AH86" s="699"/>
    </row>
    <row r="87" spans="2:34" ht="16">
      <c r="B87" s="9"/>
      <c r="C87" s="776"/>
      <c r="D87" s="777"/>
      <c r="E87" s="777"/>
      <c r="F87" s="778"/>
      <c r="G87" s="12"/>
      <c r="H87" s="173"/>
      <c r="I87" s="9"/>
      <c r="J87" s="792"/>
      <c r="K87" s="787"/>
      <c r="L87" s="787"/>
      <c r="M87" s="787"/>
      <c r="N87" s="10"/>
      <c r="O87" s="190" t="s">
        <v>269</v>
      </c>
      <c r="P87" s="782"/>
      <c r="Q87" s="783"/>
      <c r="R87" s="10"/>
      <c r="S87" s="784"/>
      <c r="T87" s="784"/>
      <c r="U87" s="784"/>
      <c r="V87" s="784"/>
      <c r="W87" s="12"/>
      <c r="X87" s="173"/>
      <c r="Y87" s="9"/>
      <c r="Z87" s="582"/>
      <c r="AA87" s="582"/>
      <c r="AB87" s="582"/>
      <c r="AC87" s="582"/>
      <c r="AD87" s="12"/>
      <c r="AF87" s="123"/>
      <c r="AG87" s="122"/>
      <c r="AH87" s="699"/>
    </row>
    <row r="88" spans="2:34" ht="16">
      <c r="B88" s="9"/>
      <c r="C88" s="776"/>
      <c r="D88" s="777"/>
      <c r="E88" s="777"/>
      <c r="F88" s="778"/>
      <c r="G88" s="12"/>
      <c r="H88" s="173"/>
      <c r="I88" s="9"/>
      <c r="J88" s="792"/>
      <c r="K88" s="787"/>
      <c r="L88" s="787"/>
      <c r="M88" s="787"/>
      <c r="N88" s="10"/>
      <c r="O88" s="189" t="s">
        <v>196</v>
      </c>
      <c r="P88" s="782" t="s">
        <v>486</v>
      </c>
      <c r="Q88" s="783"/>
      <c r="R88" s="10"/>
      <c r="S88" s="784"/>
      <c r="T88" s="784"/>
      <c r="U88" s="784"/>
      <c r="V88" s="784"/>
      <c r="W88" s="12"/>
      <c r="X88" s="173"/>
      <c r="Y88" s="9"/>
      <c r="Z88" s="582"/>
      <c r="AA88" s="582"/>
      <c r="AB88" s="582"/>
      <c r="AC88" s="582"/>
      <c r="AD88" s="12"/>
      <c r="AF88" s="123"/>
      <c r="AG88" s="122"/>
      <c r="AH88" s="699"/>
    </row>
    <row r="89" spans="2:34">
      <c r="B89" s="9"/>
      <c r="C89" s="776"/>
      <c r="D89" s="777"/>
      <c r="E89" s="777"/>
      <c r="F89" s="778"/>
      <c r="G89" s="12"/>
      <c r="H89" s="173"/>
      <c r="I89" s="9"/>
      <c r="J89" s="65"/>
      <c r="K89" s="232"/>
      <c r="L89" s="232"/>
      <c r="M89" s="232"/>
      <c r="N89" s="10"/>
      <c r="O89" s="62"/>
      <c r="P89" s="62"/>
      <c r="Q89" s="18"/>
      <c r="R89" s="10"/>
      <c r="S89" s="10"/>
      <c r="T89" s="10"/>
      <c r="U89" s="10"/>
      <c r="V89" s="10"/>
      <c r="W89" s="12"/>
      <c r="X89" s="173"/>
      <c r="Y89" s="9"/>
      <c r="Z89" s="214"/>
      <c r="AA89" s="214"/>
      <c r="AB89" s="214"/>
      <c r="AC89" s="214"/>
      <c r="AD89" s="12"/>
      <c r="AF89" s="123"/>
      <c r="AG89" s="122"/>
      <c r="AH89" s="699"/>
    </row>
    <row r="90" spans="2:34" ht="15.5" customHeight="1">
      <c r="B90" s="9"/>
      <c r="C90" s="776"/>
      <c r="D90" s="777"/>
      <c r="E90" s="777"/>
      <c r="F90" s="778"/>
      <c r="G90" s="12"/>
      <c r="H90" s="173"/>
      <c r="I90" s="9"/>
      <c r="J90" s="768">
        <v>2.4</v>
      </c>
      <c r="K90" s="793" t="s">
        <v>451</v>
      </c>
      <c r="L90" s="794"/>
      <c r="M90" s="795"/>
      <c r="N90" s="10"/>
      <c r="O90" s="788" t="s">
        <v>273</v>
      </c>
      <c r="P90" s="788"/>
      <c r="Q90" s="134" t="b">
        <v>0</v>
      </c>
      <c r="R90" s="10"/>
      <c r="S90" s="773" t="s">
        <v>80</v>
      </c>
      <c r="T90" s="774"/>
      <c r="U90" s="774"/>
      <c r="V90" s="775"/>
      <c r="W90" s="12"/>
      <c r="X90" s="173"/>
      <c r="Y90" s="9"/>
      <c r="Z90" s="587" t="str">
        <f>IF(AF97,Feedback_List!B44, " ")</f>
        <v xml:space="preserve"> </v>
      </c>
      <c r="AA90" s="588"/>
      <c r="AB90" s="588"/>
      <c r="AC90" s="589"/>
      <c r="AD90" s="12"/>
      <c r="AF90" s="123">
        <f>IF(Q90,1,0)</f>
        <v>0</v>
      </c>
      <c r="AG90" s="122">
        <f>IF(AF90,3,0)</f>
        <v>0</v>
      </c>
      <c r="AH90" s="699"/>
    </row>
    <row r="91" spans="2:34" ht="15.5" customHeight="1">
      <c r="B91" s="9"/>
      <c r="C91" s="776"/>
      <c r="D91" s="777"/>
      <c r="E91" s="777"/>
      <c r="F91" s="778"/>
      <c r="G91" s="12"/>
      <c r="H91" s="173"/>
      <c r="I91" s="9"/>
      <c r="J91" s="769"/>
      <c r="K91" s="796"/>
      <c r="L91" s="797"/>
      <c r="M91" s="798"/>
      <c r="N91" s="10"/>
      <c r="O91" s="788" t="s">
        <v>274</v>
      </c>
      <c r="P91" s="788"/>
      <c r="Q91" s="134" t="b">
        <v>0</v>
      </c>
      <c r="R91" s="10"/>
      <c r="S91" s="776"/>
      <c r="T91" s="777"/>
      <c r="U91" s="777"/>
      <c r="V91" s="778"/>
      <c r="W91" s="12"/>
      <c r="X91" s="173"/>
      <c r="Y91" s="9"/>
      <c r="Z91" s="590"/>
      <c r="AA91" s="591"/>
      <c r="AB91" s="591"/>
      <c r="AC91" s="592"/>
      <c r="AD91" s="12"/>
      <c r="AF91" s="123">
        <f t="shared" ref="AF91:AF92" si="12">IF(Q91,1,0)</f>
        <v>0</v>
      </c>
      <c r="AG91" s="122">
        <f t="shared" ref="AG91:AG92" si="13">IF(AF91,3,0)</f>
        <v>0</v>
      </c>
      <c r="AH91" s="699"/>
    </row>
    <row r="92" spans="2:34" ht="15.5" customHeight="1">
      <c r="B92" s="9"/>
      <c r="C92" s="776"/>
      <c r="D92" s="777"/>
      <c r="E92" s="777"/>
      <c r="F92" s="778"/>
      <c r="G92" s="12"/>
      <c r="H92" s="173"/>
      <c r="I92" s="9"/>
      <c r="J92" s="769"/>
      <c r="K92" s="796"/>
      <c r="L92" s="797"/>
      <c r="M92" s="798"/>
      <c r="N92" s="10"/>
      <c r="O92" s="788" t="s">
        <v>275</v>
      </c>
      <c r="P92" s="788"/>
      <c r="Q92" s="134" t="b">
        <v>0</v>
      </c>
      <c r="R92" s="10"/>
      <c r="S92" s="776"/>
      <c r="T92" s="777"/>
      <c r="U92" s="777"/>
      <c r="V92" s="778"/>
      <c r="W92" s="12"/>
      <c r="X92" s="173"/>
      <c r="Y92" s="9"/>
      <c r="Z92" s="590"/>
      <c r="AA92" s="591"/>
      <c r="AB92" s="591"/>
      <c r="AC92" s="592"/>
      <c r="AD92" s="12"/>
      <c r="AF92" s="123">
        <f t="shared" si="12"/>
        <v>0</v>
      </c>
      <c r="AG92" s="122">
        <f t="shared" si="13"/>
        <v>0</v>
      </c>
      <c r="AH92" s="699"/>
    </row>
    <row r="93" spans="2:34" ht="15.5" customHeight="1">
      <c r="B93" s="9"/>
      <c r="C93" s="776"/>
      <c r="D93" s="777"/>
      <c r="E93" s="777"/>
      <c r="F93" s="778"/>
      <c r="G93" s="12"/>
      <c r="H93" s="173"/>
      <c r="I93" s="9"/>
      <c r="J93" s="769"/>
      <c r="K93" s="796"/>
      <c r="L93" s="797"/>
      <c r="M93" s="798"/>
      <c r="N93" s="10"/>
      <c r="O93" s="788" t="s">
        <v>276</v>
      </c>
      <c r="P93" s="788"/>
      <c r="Q93" s="134" t="b">
        <v>0</v>
      </c>
      <c r="R93" s="10"/>
      <c r="S93" s="776"/>
      <c r="T93" s="777"/>
      <c r="U93" s="777"/>
      <c r="V93" s="778"/>
      <c r="W93" s="12"/>
      <c r="X93" s="173"/>
      <c r="Y93" s="9"/>
      <c r="Z93" s="590"/>
      <c r="AA93" s="591"/>
      <c r="AB93" s="591"/>
      <c r="AC93" s="592"/>
      <c r="AD93" s="12"/>
      <c r="AF93" s="123">
        <f>IF(Q93,1,0)</f>
        <v>0</v>
      </c>
      <c r="AG93" s="122"/>
      <c r="AH93" s="699"/>
    </row>
    <row r="94" spans="2:34" ht="15.5" customHeight="1">
      <c r="B94" s="9"/>
      <c r="C94" s="776"/>
      <c r="D94" s="777"/>
      <c r="E94" s="777"/>
      <c r="F94" s="778"/>
      <c r="G94" s="12"/>
      <c r="H94" s="173"/>
      <c r="I94" s="9"/>
      <c r="J94" s="769"/>
      <c r="K94" s="796"/>
      <c r="L94" s="797"/>
      <c r="M94" s="798"/>
      <c r="N94" s="10"/>
      <c r="O94" s="788" t="s">
        <v>272</v>
      </c>
      <c r="P94" s="788"/>
      <c r="Q94" s="134" t="b">
        <v>0</v>
      </c>
      <c r="R94" s="10"/>
      <c r="S94" s="776"/>
      <c r="T94" s="777"/>
      <c r="U94" s="777"/>
      <c r="V94" s="778"/>
      <c r="W94" s="12"/>
      <c r="X94" s="173"/>
      <c r="Y94" s="9"/>
      <c r="Z94" s="590"/>
      <c r="AA94" s="591"/>
      <c r="AB94" s="591"/>
      <c r="AC94" s="592"/>
      <c r="AD94" s="12"/>
      <c r="AF94" s="123">
        <f>IF(Q94,1,0)</f>
        <v>0</v>
      </c>
      <c r="AG94" s="122"/>
      <c r="AH94" s="699"/>
    </row>
    <row r="95" spans="2:34" ht="15.5" customHeight="1">
      <c r="B95" s="9"/>
      <c r="C95" s="776"/>
      <c r="D95" s="777"/>
      <c r="E95" s="777"/>
      <c r="F95" s="778"/>
      <c r="G95" s="12"/>
      <c r="H95" s="173"/>
      <c r="I95" s="9"/>
      <c r="J95" s="769"/>
      <c r="K95" s="796"/>
      <c r="L95" s="797"/>
      <c r="M95" s="798"/>
      <c r="N95" s="10"/>
      <c r="O95" s="771" t="s">
        <v>223</v>
      </c>
      <c r="P95" s="772"/>
      <c r="Q95" s="134" t="b">
        <v>0</v>
      </c>
      <c r="R95" s="10"/>
      <c r="S95" s="776"/>
      <c r="T95" s="777"/>
      <c r="U95" s="777"/>
      <c r="V95" s="778"/>
      <c r="W95" s="12"/>
      <c r="X95" s="173"/>
      <c r="Y95" s="9"/>
      <c r="Z95" s="590"/>
      <c r="AA95" s="591"/>
      <c r="AB95" s="591"/>
      <c r="AC95" s="592"/>
      <c r="AD95" s="12"/>
      <c r="AF95" s="123">
        <f>IF(Q95,1,0)</f>
        <v>0</v>
      </c>
      <c r="AG95" s="122"/>
      <c r="AH95" s="699"/>
    </row>
    <row r="96" spans="2:34" ht="15.5" customHeight="1">
      <c r="B96" s="9"/>
      <c r="C96" s="776"/>
      <c r="D96" s="777"/>
      <c r="E96" s="777"/>
      <c r="F96" s="778"/>
      <c r="G96" s="12"/>
      <c r="H96" s="173"/>
      <c r="I96" s="9"/>
      <c r="J96" s="769"/>
      <c r="K96" s="796"/>
      <c r="L96" s="797"/>
      <c r="M96" s="798"/>
      <c r="N96" s="10"/>
      <c r="O96" s="771" t="s">
        <v>271</v>
      </c>
      <c r="P96" s="772"/>
      <c r="Q96" s="134" t="b">
        <v>0</v>
      </c>
      <c r="R96" s="10"/>
      <c r="S96" s="776"/>
      <c r="T96" s="777"/>
      <c r="U96" s="777"/>
      <c r="V96" s="778"/>
      <c r="W96" s="12"/>
      <c r="X96" s="173"/>
      <c r="Y96" s="9"/>
      <c r="Z96" s="590"/>
      <c r="AA96" s="591"/>
      <c r="AB96" s="591"/>
      <c r="AC96" s="592"/>
      <c r="AD96" s="12"/>
      <c r="AF96" s="123"/>
      <c r="AG96" s="122"/>
      <c r="AH96" s="699"/>
    </row>
    <row r="97" spans="2:35" ht="17.5" customHeight="1">
      <c r="B97" s="9"/>
      <c r="C97" s="776"/>
      <c r="D97" s="777"/>
      <c r="E97" s="777"/>
      <c r="F97" s="778"/>
      <c r="G97" s="12"/>
      <c r="H97" s="173"/>
      <c r="I97" s="9"/>
      <c r="J97" s="770"/>
      <c r="K97" s="799"/>
      <c r="L97" s="800"/>
      <c r="M97" s="801"/>
      <c r="N97" s="10"/>
      <c r="O97" s="771" t="s">
        <v>613</v>
      </c>
      <c r="P97" s="772"/>
      <c r="Q97" s="134" t="b">
        <v>0</v>
      </c>
      <c r="R97" s="10"/>
      <c r="S97" s="779"/>
      <c r="T97" s="780"/>
      <c r="U97" s="780"/>
      <c r="V97" s="781"/>
      <c r="W97" s="12"/>
      <c r="X97" s="173"/>
      <c r="Y97" s="9"/>
      <c r="Z97" s="593"/>
      <c r="AA97" s="594"/>
      <c r="AB97" s="594"/>
      <c r="AC97" s="595"/>
      <c r="AD97" s="12"/>
      <c r="AF97" s="123">
        <f>IF(Q97,1,0)</f>
        <v>0</v>
      </c>
      <c r="AG97" s="122"/>
      <c r="AH97" s="699"/>
    </row>
    <row r="98" spans="2:35">
      <c r="B98" s="9"/>
      <c r="C98" s="776"/>
      <c r="D98" s="777"/>
      <c r="E98" s="777"/>
      <c r="F98" s="778"/>
      <c r="G98" s="12"/>
      <c r="H98" s="173"/>
      <c r="I98" s="9"/>
      <c r="J98" s="65"/>
      <c r="K98" s="232"/>
      <c r="L98" s="232"/>
      <c r="M98" s="232"/>
      <c r="N98" s="10"/>
      <c r="O98" s="62"/>
      <c r="P98" s="62"/>
      <c r="Q98" s="18"/>
      <c r="R98" s="10"/>
      <c r="S98" s="10"/>
      <c r="T98" s="10"/>
      <c r="U98" s="10"/>
      <c r="V98" s="10"/>
      <c r="W98" s="12"/>
      <c r="X98" s="173"/>
      <c r="Y98" s="9"/>
      <c r="Z98" s="214"/>
      <c r="AA98" s="214"/>
      <c r="AB98" s="214"/>
      <c r="AC98" s="214"/>
      <c r="AD98" s="12"/>
      <c r="AF98" s="123"/>
      <c r="AG98" s="122"/>
      <c r="AH98" s="699"/>
    </row>
    <row r="99" spans="2:35" ht="16">
      <c r="B99" s="9"/>
      <c r="C99" s="776"/>
      <c r="D99" s="777"/>
      <c r="E99" s="777"/>
      <c r="F99" s="778"/>
      <c r="G99" s="12"/>
      <c r="H99" s="173"/>
      <c r="I99" s="9"/>
      <c r="J99" s="768">
        <v>2.5</v>
      </c>
      <c r="K99" s="793" t="s">
        <v>450</v>
      </c>
      <c r="L99" s="794"/>
      <c r="M99" s="795"/>
      <c r="N99" s="10"/>
      <c r="O99" s="788" t="s">
        <v>277</v>
      </c>
      <c r="P99" s="788"/>
      <c r="Q99" s="134" t="b">
        <v>0</v>
      </c>
      <c r="R99" s="10"/>
      <c r="S99" s="773" t="s">
        <v>80</v>
      </c>
      <c r="T99" s="774"/>
      <c r="U99" s="774"/>
      <c r="V99" s="775"/>
      <c r="W99" s="12"/>
      <c r="X99" s="173"/>
      <c r="Y99" s="9"/>
      <c r="Z99" s="587" t="str">
        <f>IF(AF104,Feedback_List!B45, " ")</f>
        <v xml:space="preserve"> </v>
      </c>
      <c r="AA99" s="588"/>
      <c r="AB99" s="588"/>
      <c r="AC99" s="589"/>
      <c r="AD99" s="12"/>
      <c r="AF99" s="123">
        <f>IF(Q99,1,0)</f>
        <v>0</v>
      </c>
      <c r="AG99" s="122">
        <f>IF(AF99,2,)</f>
        <v>0</v>
      </c>
      <c r="AH99" s="699"/>
    </row>
    <row r="100" spans="2:35" ht="16">
      <c r="B100" s="9"/>
      <c r="C100" s="776"/>
      <c r="D100" s="777"/>
      <c r="E100" s="777"/>
      <c r="F100" s="778"/>
      <c r="G100" s="12"/>
      <c r="H100" s="173"/>
      <c r="I100" s="9"/>
      <c r="J100" s="769"/>
      <c r="K100" s="796"/>
      <c r="L100" s="797"/>
      <c r="M100" s="798"/>
      <c r="N100" s="10"/>
      <c r="O100" s="788" t="s">
        <v>278</v>
      </c>
      <c r="P100" s="788"/>
      <c r="Q100" s="134" t="b">
        <v>0</v>
      </c>
      <c r="R100" s="10"/>
      <c r="S100" s="776"/>
      <c r="T100" s="777"/>
      <c r="U100" s="777"/>
      <c r="V100" s="778"/>
      <c r="W100" s="12"/>
      <c r="X100" s="173"/>
      <c r="Y100" s="9"/>
      <c r="Z100" s="590"/>
      <c r="AA100" s="591"/>
      <c r="AB100" s="591"/>
      <c r="AC100" s="592"/>
      <c r="AD100" s="12"/>
      <c r="AF100" s="123">
        <f t="shared" ref="AF100:AF101" si="14">IF(Q100,1,0)</f>
        <v>0</v>
      </c>
      <c r="AG100" s="122">
        <f t="shared" ref="AG100:AG101" si="15">IF(AF100,2,)</f>
        <v>0</v>
      </c>
      <c r="AH100" s="699"/>
    </row>
    <row r="101" spans="2:35" ht="16">
      <c r="B101" s="9"/>
      <c r="C101" s="776"/>
      <c r="D101" s="777"/>
      <c r="E101" s="777"/>
      <c r="F101" s="778"/>
      <c r="G101" s="12"/>
      <c r="H101" s="173"/>
      <c r="I101" s="9"/>
      <c r="J101" s="769"/>
      <c r="K101" s="796"/>
      <c r="L101" s="797"/>
      <c r="M101" s="798"/>
      <c r="N101" s="10"/>
      <c r="O101" s="788" t="s">
        <v>279</v>
      </c>
      <c r="P101" s="788"/>
      <c r="Q101" s="134" t="b">
        <v>0</v>
      </c>
      <c r="R101" s="10"/>
      <c r="S101" s="776"/>
      <c r="T101" s="777"/>
      <c r="U101" s="777"/>
      <c r="V101" s="778"/>
      <c r="W101" s="12"/>
      <c r="X101" s="173"/>
      <c r="Y101" s="9"/>
      <c r="Z101" s="590"/>
      <c r="AA101" s="591"/>
      <c r="AB101" s="591"/>
      <c r="AC101" s="592"/>
      <c r="AD101" s="12"/>
      <c r="AF101" s="123">
        <f t="shared" si="14"/>
        <v>0</v>
      </c>
      <c r="AG101" s="122">
        <f t="shared" si="15"/>
        <v>0</v>
      </c>
      <c r="AH101" s="699"/>
    </row>
    <row r="102" spans="2:35" ht="16">
      <c r="B102" s="9"/>
      <c r="C102" s="776"/>
      <c r="D102" s="777"/>
      <c r="E102" s="777"/>
      <c r="F102" s="778"/>
      <c r="G102" s="12"/>
      <c r="H102" s="173"/>
      <c r="I102" s="9"/>
      <c r="J102" s="769"/>
      <c r="K102" s="796"/>
      <c r="L102" s="797"/>
      <c r="M102" s="798"/>
      <c r="N102" s="10"/>
      <c r="O102" s="788" t="s">
        <v>280</v>
      </c>
      <c r="P102" s="788"/>
      <c r="Q102" s="134" t="b">
        <v>0</v>
      </c>
      <c r="R102" s="10"/>
      <c r="S102" s="776"/>
      <c r="T102" s="777"/>
      <c r="U102" s="777"/>
      <c r="V102" s="778"/>
      <c r="W102" s="12"/>
      <c r="X102" s="173"/>
      <c r="Y102" s="9"/>
      <c r="Z102" s="590"/>
      <c r="AA102" s="591"/>
      <c r="AB102" s="591"/>
      <c r="AC102" s="592"/>
      <c r="AD102" s="12"/>
      <c r="AF102" s="123">
        <f>IF(Q102,1,0)</f>
        <v>0</v>
      </c>
      <c r="AG102" s="122">
        <f>IF(AF102,2,)</f>
        <v>0</v>
      </c>
      <c r="AH102" s="699"/>
    </row>
    <row r="103" spans="2:35" ht="16">
      <c r="B103" s="9"/>
      <c r="C103" s="776"/>
      <c r="D103" s="777"/>
      <c r="E103" s="777"/>
      <c r="F103" s="778"/>
      <c r="G103" s="12"/>
      <c r="H103" s="173"/>
      <c r="I103" s="9"/>
      <c r="J103" s="769"/>
      <c r="K103" s="796"/>
      <c r="L103" s="797"/>
      <c r="M103" s="798"/>
      <c r="N103" s="10"/>
      <c r="O103" s="771" t="s">
        <v>196</v>
      </c>
      <c r="P103" s="772"/>
      <c r="Q103" s="134" t="b">
        <v>0</v>
      </c>
      <c r="R103" s="10"/>
      <c r="S103" s="776"/>
      <c r="T103" s="777"/>
      <c r="U103" s="777"/>
      <c r="V103" s="778"/>
      <c r="W103" s="12"/>
      <c r="X103" s="173"/>
      <c r="Y103" s="9"/>
      <c r="Z103" s="590"/>
      <c r="AA103" s="591"/>
      <c r="AB103" s="591"/>
      <c r="AC103" s="592"/>
      <c r="AD103" s="12"/>
      <c r="AF103" s="123"/>
      <c r="AG103" s="122"/>
      <c r="AH103" s="699"/>
    </row>
    <row r="104" spans="2:35" ht="16">
      <c r="B104" s="9"/>
      <c r="C104" s="776"/>
      <c r="D104" s="777"/>
      <c r="E104" s="777"/>
      <c r="F104" s="778"/>
      <c r="G104" s="12"/>
      <c r="H104" s="173"/>
      <c r="I104" s="9"/>
      <c r="J104" s="770"/>
      <c r="K104" s="799"/>
      <c r="L104" s="800"/>
      <c r="M104" s="801"/>
      <c r="N104" s="10"/>
      <c r="O104" s="771" t="s">
        <v>614</v>
      </c>
      <c r="P104" s="772"/>
      <c r="Q104" s="134" t="b">
        <v>0</v>
      </c>
      <c r="R104" s="10"/>
      <c r="S104" s="779"/>
      <c r="T104" s="780"/>
      <c r="U104" s="780"/>
      <c r="V104" s="781"/>
      <c r="W104" s="12"/>
      <c r="X104" s="173"/>
      <c r="Y104" s="9"/>
      <c r="Z104" s="593"/>
      <c r="AA104" s="594"/>
      <c r="AB104" s="594"/>
      <c r="AC104" s="595"/>
      <c r="AD104" s="12"/>
      <c r="AF104" s="123">
        <f t="shared" ref="AF104" si="16">IF(Q104,1,0)</f>
        <v>0</v>
      </c>
      <c r="AG104" s="122"/>
      <c r="AH104" s="699"/>
    </row>
    <row r="105" spans="2:35">
      <c r="B105" s="9"/>
      <c r="C105" s="776"/>
      <c r="D105" s="777"/>
      <c r="E105" s="777"/>
      <c r="F105" s="778"/>
      <c r="G105" s="12"/>
      <c r="H105" s="173"/>
      <c r="I105" s="9"/>
      <c r="J105" s="65"/>
      <c r="K105" s="232"/>
      <c r="L105" s="232"/>
      <c r="M105" s="232"/>
      <c r="N105" s="10"/>
      <c r="O105" s="62"/>
      <c r="P105" s="62"/>
      <c r="Q105" s="18"/>
      <c r="R105" s="10"/>
      <c r="S105" s="10"/>
      <c r="T105" s="10"/>
      <c r="U105" s="10"/>
      <c r="V105" s="10"/>
      <c r="W105" s="12"/>
      <c r="X105" s="173"/>
      <c r="Y105" s="9"/>
      <c r="Z105" s="214"/>
      <c r="AA105" s="214"/>
      <c r="AB105" s="214"/>
      <c r="AC105" s="214"/>
      <c r="AD105" s="12"/>
      <c r="AF105" s="201"/>
      <c r="AG105" s="200"/>
      <c r="AH105" s="699"/>
      <c r="AI105" s="103"/>
    </row>
    <row r="106" spans="2:35" ht="36" customHeight="1">
      <c r="B106" s="9"/>
      <c r="C106" s="776"/>
      <c r="D106" s="777"/>
      <c r="E106" s="777"/>
      <c r="F106" s="778"/>
      <c r="G106" s="12"/>
      <c r="H106" s="173"/>
      <c r="I106" s="9"/>
      <c r="J106" s="792">
        <v>2.6</v>
      </c>
      <c r="K106" s="787" t="s">
        <v>473</v>
      </c>
      <c r="L106" s="787"/>
      <c r="M106" s="787"/>
      <c r="N106" s="10"/>
      <c r="O106" s="548" t="s">
        <v>215</v>
      </c>
      <c r="P106" s="550"/>
      <c r="Q106" s="134" t="b">
        <v>0</v>
      </c>
      <c r="R106" s="10"/>
      <c r="S106" s="784" t="s">
        <v>80</v>
      </c>
      <c r="T106" s="784"/>
      <c r="U106" s="784"/>
      <c r="V106" s="784"/>
      <c r="W106" s="12"/>
      <c r="X106" s="173"/>
      <c r="Y106" s="9"/>
      <c r="Z106" s="587" t="str">
        <f>IF(AF110=1, Feedback_List!B46, IF(AND(AF112&gt;=1, AF112&lt;=2), Feedback_List!C46, ""))</f>
        <v/>
      </c>
      <c r="AA106" s="588"/>
      <c r="AB106" s="588"/>
      <c r="AC106" s="589"/>
      <c r="AD106" s="12"/>
      <c r="AF106" s="123">
        <f>IF(Q106,1,0)</f>
        <v>0</v>
      </c>
      <c r="AG106" s="122"/>
      <c r="AH106" s="699"/>
    </row>
    <row r="107" spans="2:35" ht="23.5" customHeight="1">
      <c r="B107" s="9"/>
      <c r="C107" s="776"/>
      <c r="D107" s="777"/>
      <c r="E107" s="777"/>
      <c r="F107" s="778"/>
      <c r="G107" s="12"/>
      <c r="H107" s="173"/>
      <c r="I107" s="9"/>
      <c r="J107" s="792"/>
      <c r="K107" s="787"/>
      <c r="L107" s="787"/>
      <c r="M107" s="787"/>
      <c r="N107" s="10"/>
      <c r="O107" s="771" t="s">
        <v>216</v>
      </c>
      <c r="P107" s="772"/>
      <c r="Q107" s="134" t="b">
        <v>0</v>
      </c>
      <c r="R107" s="10"/>
      <c r="S107" s="784"/>
      <c r="T107" s="784"/>
      <c r="U107" s="784"/>
      <c r="V107" s="784"/>
      <c r="W107" s="12"/>
      <c r="X107" s="173"/>
      <c r="Y107" s="9"/>
      <c r="Z107" s="590"/>
      <c r="AA107" s="591"/>
      <c r="AB107" s="591"/>
      <c r="AC107" s="592"/>
      <c r="AD107" s="12"/>
      <c r="AF107" s="123">
        <f t="shared" ref="AF107:AF108" si="17">IF(Q107,1,0)</f>
        <v>0</v>
      </c>
      <c r="AG107" s="122"/>
      <c r="AH107" s="699"/>
    </row>
    <row r="108" spans="2:35" ht="23.5" customHeight="1">
      <c r="B108" s="9"/>
      <c r="C108" s="776"/>
      <c r="D108" s="777"/>
      <c r="E108" s="777"/>
      <c r="F108" s="778"/>
      <c r="G108" s="12"/>
      <c r="H108" s="173"/>
      <c r="I108" s="9"/>
      <c r="J108" s="792"/>
      <c r="K108" s="787"/>
      <c r="L108" s="787"/>
      <c r="M108" s="787"/>
      <c r="N108" s="10"/>
      <c r="O108" s="771" t="s">
        <v>217</v>
      </c>
      <c r="P108" s="772"/>
      <c r="Q108" s="134" t="b">
        <v>0</v>
      </c>
      <c r="R108" s="10"/>
      <c r="S108" s="784"/>
      <c r="T108" s="784"/>
      <c r="U108" s="784"/>
      <c r="V108" s="784"/>
      <c r="W108" s="12"/>
      <c r="X108" s="173"/>
      <c r="Y108" s="9"/>
      <c r="Z108" s="590"/>
      <c r="AA108" s="591"/>
      <c r="AB108" s="591"/>
      <c r="AC108" s="592"/>
      <c r="AD108" s="12"/>
      <c r="AF108" s="123">
        <f t="shared" si="17"/>
        <v>0</v>
      </c>
      <c r="AG108" s="122"/>
      <c r="AH108" s="699"/>
    </row>
    <row r="109" spans="2:35" ht="23.5" customHeight="1">
      <c r="B109" s="9"/>
      <c r="C109" s="776"/>
      <c r="D109" s="777"/>
      <c r="E109" s="777"/>
      <c r="F109" s="778"/>
      <c r="G109" s="12"/>
      <c r="H109" s="173"/>
      <c r="I109" s="9"/>
      <c r="J109" s="792"/>
      <c r="K109" s="787"/>
      <c r="L109" s="787"/>
      <c r="M109" s="787"/>
      <c r="N109" s="10"/>
      <c r="O109" s="771" t="s">
        <v>218</v>
      </c>
      <c r="P109" s="772"/>
      <c r="Q109" s="134" t="b">
        <v>0</v>
      </c>
      <c r="R109" s="10"/>
      <c r="S109" s="784"/>
      <c r="T109" s="784"/>
      <c r="U109" s="784"/>
      <c r="V109" s="784"/>
      <c r="W109" s="12"/>
      <c r="X109" s="173"/>
      <c r="Y109" s="9"/>
      <c r="Z109" s="590"/>
      <c r="AA109" s="591"/>
      <c r="AB109" s="591"/>
      <c r="AC109" s="592"/>
      <c r="AD109" s="12"/>
      <c r="AF109" s="123">
        <f>IF(Q109,1,0)</f>
        <v>0</v>
      </c>
      <c r="AG109" s="122"/>
      <c r="AH109" s="699"/>
    </row>
    <row r="110" spans="2:35" ht="23.5" customHeight="1">
      <c r="B110" s="9"/>
      <c r="C110" s="779"/>
      <c r="D110" s="780"/>
      <c r="E110" s="780"/>
      <c r="F110" s="781"/>
      <c r="G110" s="12"/>
      <c r="H110" s="173"/>
      <c r="I110" s="9"/>
      <c r="J110" s="792"/>
      <c r="K110" s="787"/>
      <c r="L110" s="787"/>
      <c r="M110" s="787"/>
      <c r="N110" s="10"/>
      <c r="O110" s="771" t="s">
        <v>219</v>
      </c>
      <c r="P110" s="772"/>
      <c r="Q110" s="134" t="b">
        <v>0</v>
      </c>
      <c r="R110" s="10"/>
      <c r="S110" s="784"/>
      <c r="T110" s="784"/>
      <c r="U110" s="784"/>
      <c r="V110" s="784"/>
      <c r="W110" s="12"/>
      <c r="X110" s="173"/>
      <c r="Y110" s="9"/>
      <c r="Z110" s="590"/>
      <c r="AA110" s="591"/>
      <c r="AB110" s="591"/>
      <c r="AC110" s="592"/>
      <c r="AD110" s="12"/>
      <c r="AF110" s="110">
        <f>IF(Q110,1,0)</f>
        <v>0</v>
      </c>
      <c r="AG110" s="111"/>
      <c r="AH110" s="700"/>
    </row>
    <row r="111" spans="2:35" ht="19" thickBot="1">
      <c r="B111" s="9"/>
      <c r="C111" s="10"/>
      <c r="D111" s="10"/>
      <c r="E111" s="10"/>
      <c r="F111" s="10"/>
      <c r="G111" s="12"/>
      <c r="H111" s="173"/>
      <c r="I111" s="9"/>
      <c r="J111" s="65"/>
      <c r="K111" s="232"/>
      <c r="L111" s="232"/>
      <c r="M111" s="232"/>
      <c r="N111" s="10"/>
      <c r="O111" s="62"/>
      <c r="P111" s="62"/>
      <c r="Q111" s="18"/>
      <c r="R111" s="10"/>
      <c r="S111" s="10"/>
      <c r="T111" s="10"/>
      <c r="U111" s="10"/>
      <c r="V111" s="10"/>
      <c r="W111" s="12"/>
      <c r="X111" s="173"/>
      <c r="Y111" s="9"/>
      <c r="Z111" s="590"/>
      <c r="AA111" s="591"/>
      <c r="AB111" s="591"/>
      <c r="AC111" s="592"/>
      <c r="AD111" s="12"/>
      <c r="AF111" s="129">
        <f>SUM(AF73:AF110)</f>
        <v>0</v>
      </c>
      <c r="AG111" s="129">
        <f>SUM(AG73:AG110)</f>
        <v>0</v>
      </c>
      <c r="AH111" s="129"/>
    </row>
    <row r="112" spans="2:35" ht="21" thickTop="1">
      <c r="B112" s="9"/>
      <c r="C112" s="10"/>
      <c r="D112" s="10"/>
      <c r="E112" s="10"/>
      <c r="F112" s="10"/>
      <c r="G112" s="12"/>
      <c r="H112" s="173"/>
      <c r="I112" s="9"/>
      <c r="J112" s="789" t="s">
        <v>281</v>
      </c>
      <c r="K112" s="790"/>
      <c r="L112" s="790"/>
      <c r="M112" s="790"/>
      <c r="N112" s="790"/>
      <c r="O112" s="790"/>
      <c r="P112" s="790"/>
      <c r="Q112" s="791"/>
      <c r="R112" s="10"/>
      <c r="S112" s="755" t="str">
        <f>ROUND(AH73+AH7,0) &amp; "/25"</f>
        <v>0/25</v>
      </c>
      <c r="T112" s="756"/>
      <c r="U112" s="756"/>
      <c r="V112" s="757"/>
      <c r="W112" s="12"/>
      <c r="X112" s="173"/>
      <c r="Y112" s="9"/>
      <c r="Z112" s="593"/>
      <c r="AA112" s="594"/>
      <c r="AB112" s="594"/>
      <c r="AC112" s="595"/>
      <c r="AD112" s="12"/>
      <c r="AF112" s="102">
        <f>SUM(AF106:AF109)</f>
        <v>0</v>
      </c>
    </row>
    <row r="113" spans="2:30" ht="19" thickBot="1">
      <c r="B113" s="14"/>
      <c r="C113" s="15"/>
      <c r="D113" s="15"/>
      <c r="E113" s="15"/>
      <c r="F113" s="15"/>
      <c r="G113" s="16"/>
      <c r="H113" s="173"/>
      <c r="I113" s="14"/>
      <c r="J113" s="67"/>
      <c r="K113" s="233"/>
      <c r="L113" s="233"/>
      <c r="M113" s="233"/>
      <c r="N113" s="15"/>
      <c r="O113" s="81"/>
      <c r="P113" s="81"/>
      <c r="Q113" s="63"/>
      <c r="R113" s="15"/>
      <c r="S113" s="15"/>
      <c r="T113" s="15"/>
      <c r="U113" s="15"/>
      <c r="V113" s="15"/>
      <c r="W113" s="16"/>
      <c r="X113" s="173"/>
      <c r="Y113" s="14"/>
      <c r="Z113" s="221"/>
      <c r="AA113" s="221"/>
      <c r="AB113" s="221"/>
      <c r="AC113" s="221"/>
      <c r="AD113" s="16"/>
    </row>
    <row r="115" spans="2:30" ht="17.5" customHeight="1">
      <c r="J115" s="133"/>
      <c r="K115" s="234"/>
      <c r="L115" s="234"/>
      <c r="M115" s="145"/>
    </row>
    <row r="116" spans="2:30" ht="17.5" customHeight="1">
      <c r="J116" s="133"/>
      <c r="K116" s="234"/>
      <c r="L116" s="234"/>
      <c r="M116" s="145"/>
    </row>
    <row r="117" spans="2:30" ht="17.5" customHeight="1">
      <c r="J117" s="133"/>
      <c r="K117" s="234"/>
      <c r="L117" s="234"/>
      <c r="M117" s="145"/>
    </row>
    <row r="118" spans="2:30" ht="17.5" customHeight="1">
      <c r="J118" s="133"/>
      <c r="K118" s="234"/>
      <c r="L118" s="234"/>
      <c r="M118" s="145"/>
    </row>
    <row r="119" spans="2:30" ht="17.5" customHeight="1">
      <c r="J119" s="133"/>
      <c r="K119" s="234"/>
      <c r="L119" s="234"/>
      <c r="M119" s="145"/>
    </row>
    <row r="120" spans="2:30" ht="17.5" customHeight="1">
      <c r="J120" s="133"/>
      <c r="K120" s="234"/>
      <c r="L120" s="234"/>
      <c r="M120" s="145"/>
    </row>
    <row r="121" spans="2:30" ht="17.5" customHeight="1">
      <c r="J121" s="133"/>
      <c r="K121" s="234"/>
      <c r="L121" s="234"/>
      <c r="M121" s="145"/>
    </row>
    <row r="122" spans="2:30" ht="17.5" customHeight="1">
      <c r="J122" s="133"/>
      <c r="K122" s="234"/>
      <c r="L122" s="234"/>
      <c r="M122" s="145"/>
    </row>
    <row r="123" spans="2:30" ht="17.5" customHeight="1">
      <c r="J123" s="133"/>
      <c r="K123" s="234"/>
      <c r="L123" s="234"/>
      <c r="M123" s="145"/>
    </row>
    <row r="124" spans="2:30" ht="17.5" customHeight="1">
      <c r="J124" s="133"/>
      <c r="K124" s="234"/>
      <c r="L124" s="234"/>
      <c r="M124" s="145"/>
    </row>
  </sheetData>
  <mergeCells count="166">
    <mergeCell ref="K12:M15"/>
    <mergeCell ref="J12:J15"/>
    <mergeCell ref="S12:V15"/>
    <mergeCell ref="S27:V30"/>
    <mergeCell ref="K27:M30"/>
    <mergeCell ref="J27:J30"/>
    <mergeCell ref="J42:J45"/>
    <mergeCell ref="K42:M45"/>
    <mergeCell ref="S42:V45"/>
    <mergeCell ref="O27:P27"/>
    <mergeCell ref="O28:P28"/>
    <mergeCell ref="O29:P29"/>
    <mergeCell ref="O30:P30"/>
    <mergeCell ref="O32:P32"/>
    <mergeCell ref="O33:P33"/>
    <mergeCell ref="O34:P34"/>
    <mergeCell ref="O22:P22"/>
    <mergeCell ref="AM5:AM6"/>
    <mergeCell ref="AH7:AH69"/>
    <mergeCell ref="O23:P23"/>
    <mergeCell ref="O24:P24"/>
    <mergeCell ref="J37:J40"/>
    <mergeCell ref="O42:P42"/>
    <mergeCell ref="O44:P44"/>
    <mergeCell ref="O45:P45"/>
    <mergeCell ref="O47:P47"/>
    <mergeCell ref="O48:P48"/>
    <mergeCell ref="O49:P49"/>
    <mergeCell ref="S52:V55"/>
    <mergeCell ref="Z52:AC55"/>
    <mergeCell ref="O52:P52"/>
    <mergeCell ref="O53:P53"/>
    <mergeCell ref="O54:P54"/>
    <mergeCell ref="K52:M55"/>
    <mergeCell ref="K37:M40"/>
    <mergeCell ref="S37:V40"/>
    <mergeCell ref="J52:J55"/>
    <mergeCell ref="O7:P7"/>
    <mergeCell ref="O8:P8"/>
    <mergeCell ref="O9:P9"/>
    <mergeCell ref="S63:V69"/>
    <mergeCell ref="B2:G3"/>
    <mergeCell ref="I2:W3"/>
    <mergeCell ref="Y2:AD3"/>
    <mergeCell ref="O12:P12"/>
    <mergeCell ref="Z7:AC10"/>
    <mergeCell ref="Z12:AC15"/>
    <mergeCell ref="K17:M20"/>
    <mergeCell ref="J17:J20"/>
    <mergeCell ref="Q19:Q20"/>
    <mergeCell ref="Q17:Q18"/>
    <mergeCell ref="S17:V20"/>
    <mergeCell ref="S7:V10"/>
    <mergeCell ref="C7:F69"/>
    <mergeCell ref="Z37:AC40"/>
    <mergeCell ref="O37:P37"/>
    <mergeCell ref="O38:P38"/>
    <mergeCell ref="O39:P39"/>
    <mergeCell ref="O40:P40"/>
    <mergeCell ref="Z27:AC30"/>
    <mergeCell ref="Z42:AC45"/>
    <mergeCell ref="Z17:AC20"/>
    <mergeCell ref="O19:P20"/>
    <mergeCell ref="J7:J10"/>
    <mergeCell ref="K7:M10"/>
    <mergeCell ref="O10:P10"/>
    <mergeCell ref="O13:P13"/>
    <mergeCell ref="O14:P14"/>
    <mergeCell ref="O15:P15"/>
    <mergeCell ref="O55:P55"/>
    <mergeCell ref="O61:P61"/>
    <mergeCell ref="O59:P59"/>
    <mergeCell ref="O60:P60"/>
    <mergeCell ref="S57:V61"/>
    <mergeCell ref="O25:P25"/>
    <mergeCell ref="S22:V25"/>
    <mergeCell ref="O50:P50"/>
    <mergeCell ref="S47:V50"/>
    <mergeCell ref="O17:P18"/>
    <mergeCell ref="S90:V97"/>
    <mergeCell ref="J90:J97"/>
    <mergeCell ref="S99:V104"/>
    <mergeCell ref="K99:M104"/>
    <mergeCell ref="J99:J104"/>
    <mergeCell ref="Z99:AC104"/>
    <mergeCell ref="Z90:AC97"/>
    <mergeCell ref="K22:M25"/>
    <mergeCell ref="J22:J25"/>
    <mergeCell ref="J47:J50"/>
    <mergeCell ref="K47:M50"/>
    <mergeCell ref="Z47:AC50"/>
    <mergeCell ref="O77:P77"/>
    <mergeCell ref="O82:P82"/>
    <mergeCell ref="O95:P95"/>
    <mergeCell ref="K85:M88"/>
    <mergeCell ref="O68:P68"/>
    <mergeCell ref="O73:P73"/>
    <mergeCell ref="O74:P74"/>
    <mergeCell ref="O75:P75"/>
    <mergeCell ref="O76:P76"/>
    <mergeCell ref="O69:P69"/>
    <mergeCell ref="K57:M61"/>
    <mergeCell ref="J63:J69"/>
    <mergeCell ref="O67:P67"/>
    <mergeCell ref="O81:P81"/>
    <mergeCell ref="O57:P57"/>
    <mergeCell ref="C73:F110"/>
    <mergeCell ref="J85:J88"/>
    <mergeCell ref="O93:P93"/>
    <mergeCell ref="K80:M83"/>
    <mergeCell ref="J73:J78"/>
    <mergeCell ref="K73:M78"/>
    <mergeCell ref="O109:P109"/>
    <mergeCell ref="K90:M97"/>
    <mergeCell ref="O97:P97"/>
    <mergeCell ref="O104:P104"/>
    <mergeCell ref="O78:P78"/>
    <mergeCell ref="O94:P94"/>
    <mergeCell ref="AH73:AH110"/>
    <mergeCell ref="O110:P110"/>
    <mergeCell ref="O99:P99"/>
    <mergeCell ref="O100:P100"/>
    <mergeCell ref="O101:P101"/>
    <mergeCell ref="O102:P102"/>
    <mergeCell ref="O90:P90"/>
    <mergeCell ref="O91:P91"/>
    <mergeCell ref="O92:P92"/>
    <mergeCell ref="O103:P103"/>
    <mergeCell ref="O96:P96"/>
    <mergeCell ref="Z106:AC112"/>
    <mergeCell ref="S112:V112"/>
    <mergeCell ref="J112:Q112"/>
    <mergeCell ref="J80:J83"/>
    <mergeCell ref="S80:V83"/>
    <mergeCell ref="Z80:AC83"/>
    <mergeCell ref="O80:P80"/>
    <mergeCell ref="J106:J110"/>
    <mergeCell ref="K106:M110"/>
    <mergeCell ref="O106:P106"/>
    <mergeCell ref="S106:V110"/>
    <mergeCell ref="O107:P107"/>
    <mergeCell ref="O108:P108"/>
    <mergeCell ref="Z22:AC25"/>
    <mergeCell ref="K32:M35"/>
    <mergeCell ref="J32:J35"/>
    <mergeCell ref="O35:P35"/>
    <mergeCell ref="S32:V35"/>
    <mergeCell ref="Z32:AC35"/>
    <mergeCell ref="J57:J61"/>
    <mergeCell ref="O58:P58"/>
    <mergeCell ref="P85:Q85"/>
    <mergeCell ref="Z57:AC61"/>
    <mergeCell ref="S85:V88"/>
    <mergeCell ref="Z85:AC88"/>
    <mergeCell ref="S73:V78"/>
    <mergeCell ref="Z73:AC78"/>
    <mergeCell ref="Z63:AC69"/>
    <mergeCell ref="P86:Q86"/>
    <mergeCell ref="P87:Q87"/>
    <mergeCell ref="P88:Q88"/>
    <mergeCell ref="O83:P83"/>
    <mergeCell ref="K63:M69"/>
    <mergeCell ref="O63:P63"/>
    <mergeCell ref="O64:P64"/>
    <mergeCell ref="O65:P65"/>
    <mergeCell ref="O66:P66"/>
  </mergeCells>
  <conditionalFormatting sqref="O12 Q12 O13:Q13 O15:Q15">
    <cfRule type="expression" dxfId="465" priority="126">
      <formula>$Q$14</formula>
    </cfRule>
  </conditionalFormatting>
  <conditionalFormatting sqref="O12 Q12 O13:Q14">
    <cfRule type="expression" dxfId="464" priority="125">
      <formula>$Q$15</formula>
    </cfRule>
  </conditionalFormatting>
  <conditionalFormatting sqref="O12 Q12 O13:Q15">
    <cfRule type="expression" dxfId="463" priority="129">
      <formula>#REF!</formula>
    </cfRule>
  </conditionalFormatting>
  <conditionalFormatting sqref="O12 Q12 O14:Q15">
    <cfRule type="expression" dxfId="462" priority="127">
      <formula>$Q$13</formula>
    </cfRule>
  </conditionalFormatting>
  <conditionalFormatting sqref="O52 Q52 O54:Q55">
    <cfRule type="expression" dxfId="461" priority="149">
      <formula>$Q$53</formula>
    </cfRule>
  </conditionalFormatting>
  <conditionalFormatting sqref="O88">
    <cfRule type="expression" dxfId="460" priority="109">
      <formula>$Q$88</formula>
    </cfRule>
  </conditionalFormatting>
  <conditionalFormatting sqref="O53:P55">
    <cfRule type="expression" dxfId="459" priority="150">
      <formula>$Q$52</formula>
    </cfRule>
  </conditionalFormatting>
  <conditionalFormatting sqref="O63:P63">
    <cfRule type="expression" dxfId="458" priority="140">
      <formula>$Q$63</formula>
    </cfRule>
  </conditionalFormatting>
  <conditionalFormatting sqref="O64:P64">
    <cfRule type="expression" dxfId="457" priority="139">
      <formula>$Q$64</formula>
    </cfRule>
  </conditionalFormatting>
  <conditionalFormatting sqref="O65:P65">
    <cfRule type="expression" dxfId="456" priority="138">
      <formula>$Q$65</formula>
    </cfRule>
  </conditionalFormatting>
  <conditionalFormatting sqref="O66:P66">
    <cfRule type="expression" dxfId="455" priority="137">
      <formula>$Q$66</formula>
    </cfRule>
  </conditionalFormatting>
  <conditionalFormatting sqref="O67:P67">
    <cfRule type="expression" dxfId="454" priority="136">
      <formula>$Q$67</formula>
    </cfRule>
  </conditionalFormatting>
  <conditionalFormatting sqref="O68:P68">
    <cfRule type="expression" dxfId="453" priority="135">
      <formula>$Q$68</formula>
    </cfRule>
  </conditionalFormatting>
  <conditionalFormatting sqref="O69:P69">
    <cfRule type="expression" dxfId="452" priority="103">
      <formula>$Q$69</formula>
    </cfRule>
  </conditionalFormatting>
  <conditionalFormatting sqref="O90:P90">
    <cfRule type="expression" dxfId="451" priority="116">
      <formula>$Q$90</formula>
    </cfRule>
  </conditionalFormatting>
  <conditionalFormatting sqref="O91:P91">
    <cfRule type="expression" dxfId="450" priority="115">
      <formula>$Q$91</formula>
    </cfRule>
  </conditionalFormatting>
  <conditionalFormatting sqref="O92:P92">
    <cfRule type="expression" dxfId="449" priority="114">
      <formula>$Q$92</formula>
    </cfRule>
  </conditionalFormatting>
  <conditionalFormatting sqref="O93:P93">
    <cfRule type="expression" dxfId="448" priority="113">
      <formula>$Q$93</formula>
    </cfRule>
  </conditionalFormatting>
  <conditionalFormatting sqref="O94:P94">
    <cfRule type="expression" dxfId="447" priority="112">
      <formula>$Q$94</formula>
    </cfRule>
  </conditionalFormatting>
  <conditionalFormatting sqref="O95:P95">
    <cfRule type="expression" dxfId="446" priority="4">
      <formula>$Q$95</formula>
    </cfRule>
  </conditionalFormatting>
  <conditionalFormatting sqref="O96:P96">
    <cfRule type="expression" dxfId="445" priority="110">
      <formula>$Q$96</formula>
    </cfRule>
  </conditionalFormatting>
  <conditionalFormatting sqref="O99:P99">
    <cfRule type="expression" dxfId="444" priority="108">
      <formula>$Q$99</formula>
    </cfRule>
  </conditionalFormatting>
  <conditionalFormatting sqref="O100:P100">
    <cfRule type="expression" dxfId="443" priority="107">
      <formula>$Q$100</formula>
    </cfRule>
  </conditionalFormatting>
  <conditionalFormatting sqref="O101:P101">
    <cfRule type="expression" dxfId="442" priority="131">
      <formula>$Q$101</formula>
    </cfRule>
    <cfRule type="expression" dxfId="441" priority="106">
      <formula>$Q$101</formula>
    </cfRule>
  </conditionalFormatting>
  <conditionalFormatting sqref="O102:P102">
    <cfRule type="expression" dxfId="440" priority="105">
      <formula>$Q$102</formula>
    </cfRule>
  </conditionalFormatting>
  <conditionalFormatting sqref="O103:P103">
    <cfRule type="expression" dxfId="439" priority="104">
      <formula>$Q$103</formula>
    </cfRule>
  </conditionalFormatting>
  <conditionalFormatting sqref="O106:P106">
    <cfRule type="expression" dxfId="438" priority="85">
      <formula>$Q$106</formula>
    </cfRule>
  </conditionalFormatting>
  <conditionalFormatting sqref="O107:P107">
    <cfRule type="expression" dxfId="437" priority="84">
      <formula>$Q$107</formula>
    </cfRule>
  </conditionalFormatting>
  <conditionalFormatting sqref="O108:P108">
    <cfRule type="expression" dxfId="436" priority="83">
      <formula>$Q$108</formula>
    </cfRule>
  </conditionalFormatting>
  <conditionalFormatting sqref="O109:P109">
    <cfRule type="expression" dxfId="435" priority="82">
      <formula>$Q$109</formula>
    </cfRule>
  </conditionalFormatting>
  <conditionalFormatting sqref="O7:Q7">
    <cfRule type="expression" dxfId="434" priority="182">
      <formula>$Q$8</formula>
    </cfRule>
  </conditionalFormatting>
  <conditionalFormatting sqref="O7:Q8">
    <cfRule type="expression" dxfId="433" priority="181">
      <formula>$Q$9</formula>
    </cfRule>
  </conditionalFormatting>
  <conditionalFormatting sqref="O7:Q9">
    <cfRule type="expression" dxfId="432" priority="363">
      <formula>$Q$10</formula>
    </cfRule>
  </conditionalFormatting>
  <conditionalFormatting sqref="O7:Q10">
    <cfRule type="expression" dxfId="431" priority="179">
      <formula>#REF!</formula>
    </cfRule>
  </conditionalFormatting>
  <conditionalFormatting sqref="O8:Q10">
    <cfRule type="expression" dxfId="430" priority="178">
      <formula>$Q$7</formula>
    </cfRule>
  </conditionalFormatting>
  <conditionalFormatting sqref="O9:Q10">
    <cfRule type="expression" dxfId="429" priority="177">
      <formula>$Q$8</formula>
    </cfRule>
  </conditionalFormatting>
  <conditionalFormatting sqref="O10:Q10">
    <cfRule type="expression" dxfId="428" priority="176">
      <formula>$Q$9</formula>
    </cfRule>
  </conditionalFormatting>
  <conditionalFormatting sqref="O13:Q15">
    <cfRule type="expression" dxfId="427" priority="128">
      <formula>$Q$12</formula>
    </cfRule>
  </conditionalFormatting>
  <conditionalFormatting sqref="O17:Q18">
    <cfRule type="expression" dxfId="426" priority="173">
      <formula>$Q$19</formula>
    </cfRule>
  </conditionalFormatting>
  <conditionalFormatting sqref="O19:Q20">
    <cfRule type="expression" dxfId="425" priority="174">
      <formula>$Q$17</formula>
    </cfRule>
  </conditionalFormatting>
  <conditionalFormatting sqref="O22:Q22 O24:Q25">
    <cfRule type="expression" dxfId="424" priority="26">
      <formula>$Q$23</formula>
    </cfRule>
  </conditionalFormatting>
  <conditionalFormatting sqref="O22:Q23 O25:Q25">
    <cfRule type="expression" dxfId="423" priority="27">
      <formula>$Q$24</formula>
    </cfRule>
  </conditionalFormatting>
  <conditionalFormatting sqref="O22:Q24">
    <cfRule type="expression" dxfId="422" priority="28">
      <formula>$Q$25</formula>
    </cfRule>
  </conditionalFormatting>
  <conditionalFormatting sqref="O23:Q25">
    <cfRule type="expression" dxfId="421" priority="25">
      <formula>$Q$22</formula>
    </cfRule>
  </conditionalFormatting>
  <conditionalFormatting sqref="O27:Q27 O29:Q30">
    <cfRule type="expression" dxfId="420" priority="167">
      <formula>$Q$28</formula>
    </cfRule>
  </conditionalFormatting>
  <conditionalFormatting sqref="O27:Q28 O30:Q30">
    <cfRule type="expression" dxfId="419" priority="166">
      <formula>$Q$29</formula>
    </cfRule>
  </conditionalFormatting>
  <conditionalFormatting sqref="O27:Q29">
    <cfRule type="expression" dxfId="418" priority="366">
      <formula>$Q$30</formula>
    </cfRule>
  </conditionalFormatting>
  <conditionalFormatting sqref="O27:Q30">
    <cfRule type="expression" dxfId="417" priority="169">
      <formula>#REF!</formula>
    </cfRule>
  </conditionalFormatting>
  <conditionalFormatting sqref="O28:Q30">
    <cfRule type="expression" dxfId="416" priority="168">
      <formula>$Q$27</formula>
    </cfRule>
  </conditionalFormatting>
  <conditionalFormatting sqref="O32:Q32 O34:Q34 O35 Q35">
    <cfRule type="expression" dxfId="415" priority="162">
      <formula>$Q$33</formula>
    </cfRule>
  </conditionalFormatting>
  <conditionalFormatting sqref="O32:Q33 O35:Q35">
    <cfRule type="expression" dxfId="414" priority="30">
      <formula>$Q$34</formula>
    </cfRule>
  </conditionalFormatting>
  <conditionalFormatting sqref="O32:Q34">
    <cfRule type="expression" dxfId="413" priority="29">
      <formula>$Q$35</formula>
    </cfRule>
  </conditionalFormatting>
  <conditionalFormatting sqref="O33:Q34 O35 Q35">
    <cfRule type="expression" dxfId="412" priority="164">
      <formula>$Q$32</formula>
    </cfRule>
  </conditionalFormatting>
  <conditionalFormatting sqref="O37:Q37 O39:Q40">
    <cfRule type="expression" dxfId="411" priority="160">
      <formula>$Q$38</formula>
    </cfRule>
  </conditionalFormatting>
  <conditionalFormatting sqref="O37:Q38 O40:Q40">
    <cfRule type="expression" dxfId="410" priority="159">
      <formula>$Q$39</formula>
    </cfRule>
  </conditionalFormatting>
  <conditionalFormatting sqref="O37:Q39">
    <cfRule type="expression" dxfId="409" priority="158">
      <formula>$Q$40</formula>
    </cfRule>
  </conditionalFormatting>
  <conditionalFormatting sqref="O38:Q40">
    <cfRule type="expression" dxfId="408" priority="161">
      <formula>$Q$37</formula>
    </cfRule>
  </conditionalFormatting>
  <conditionalFormatting sqref="O42:Q42 O44:Q45">
    <cfRule type="expression" dxfId="407" priority="79">
      <formula>$Q$43</formula>
    </cfRule>
  </conditionalFormatting>
  <conditionalFormatting sqref="O42:Q43 O45:Q45">
    <cfRule type="expression" dxfId="406" priority="78">
      <formula>$Q$44</formula>
    </cfRule>
  </conditionalFormatting>
  <conditionalFormatting sqref="O42:Q44">
    <cfRule type="expression" dxfId="405" priority="77">
      <formula>$Q$45</formula>
    </cfRule>
  </conditionalFormatting>
  <conditionalFormatting sqref="O43:Q45">
    <cfRule type="expression" dxfId="404" priority="80">
      <formula>$Q$42</formula>
    </cfRule>
  </conditionalFormatting>
  <conditionalFormatting sqref="O47:Q47 O49:Q50">
    <cfRule type="expression" dxfId="403" priority="18">
      <formula>$Q$48</formula>
    </cfRule>
  </conditionalFormatting>
  <conditionalFormatting sqref="O47:Q48 O50:Q50">
    <cfRule type="expression" dxfId="402" priority="17">
      <formula>$Q$49</formula>
    </cfRule>
  </conditionalFormatting>
  <conditionalFormatting sqref="O47:Q49">
    <cfRule type="expression" dxfId="401" priority="16">
      <formula>$Q$50</formula>
    </cfRule>
  </conditionalFormatting>
  <conditionalFormatting sqref="O48:Q50">
    <cfRule type="expression" dxfId="400" priority="19">
      <formula>$Q$47</formula>
    </cfRule>
  </conditionalFormatting>
  <conditionalFormatting sqref="O52:Q53 O55 Q55">
    <cfRule type="expression" dxfId="399" priority="148">
      <formula>$Q$54</formula>
    </cfRule>
  </conditionalFormatting>
  <conditionalFormatting sqref="O52:Q54">
    <cfRule type="expression" dxfId="398" priority="147">
      <formula>$Q$55</formula>
    </cfRule>
  </conditionalFormatting>
  <conditionalFormatting sqref="O57:Q57 O59:Q61">
    <cfRule type="expression" dxfId="397" priority="89">
      <formula>$Q$58</formula>
    </cfRule>
  </conditionalFormatting>
  <conditionalFormatting sqref="O57:Q58 O60:Q61">
    <cfRule type="expression" dxfId="396" priority="88">
      <formula>$Q$59</formula>
    </cfRule>
  </conditionalFormatting>
  <conditionalFormatting sqref="O57:Q59 O61:Q61">
    <cfRule type="expression" dxfId="395" priority="87">
      <formula>$Q$60</formula>
    </cfRule>
  </conditionalFormatting>
  <conditionalFormatting sqref="O57:Q60">
    <cfRule type="expression" dxfId="394" priority="86">
      <formula>$Q$61</formula>
    </cfRule>
  </conditionalFormatting>
  <conditionalFormatting sqref="O58:Q61">
    <cfRule type="expression" dxfId="393" priority="90">
      <formula>$Q$57</formula>
    </cfRule>
  </conditionalFormatting>
  <conditionalFormatting sqref="O73:Q73 O75:Q78">
    <cfRule type="expression" dxfId="392" priority="14">
      <formula>$Q$74</formula>
    </cfRule>
  </conditionalFormatting>
  <conditionalFormatting sqref="O73:Q74 O76:Q78">
    <cfRule type="expression" dxfId="391" priority="13">
      <formula>$Q$75</formula>
    </cfRule>
  </conditionalFormatting>
  <conditionalFormatting sqref="O73:Q75 O77:Q78">
    <cfRule type="expression" dxfId="390" priority="12">
      <formula>$Q$76</formula>
    </cfRule>
  </conditionalFormatting>
  <conditionalFormatting sqref="O73:Q76 O78:Q78">
    <cfRule type="expression" dxfId="389" priority="11">
      <formula>$Q$77</formula>
    </cfRule>
  </conditionalFormatting>
  <conditionalFormatting sqref="O73:Q77">
    <cfRule type="expression" dxfId="388" priority="10">
      <formula>$Q$78</formula>
    </cfRule>
  </conditionalFormatting>
  <conditionalFormatting sqref="O74:Q78">
    <cfRule type="expression" dxfId="387" priority="15">
      <formula>$Q$73</formula>
    </cfRule>
  </conditionalFormatting>
  <conditionalFormatting sqref="O80:Q80 O82:Q83">
    <cfRule type="expression" dxfId="386" priority="8">
      <formula>$Q$81</formula>
    </cfRule>
  </conditionalFormatting>
  <conditionalFormatting sqref="O80:Q81 O83:Q83">
    <cfRule type="expression" dxfId="385" priority="7">
      <formula>$Q$82</formula>
    </cfRule>
  </conditionalFormatting>
  <conditionalFormatting sqref="O80:Q82 Q83">
    <cfRule type="expression" dxfId="384" priority="6">
      <formula>$Q$83</formula>
    </cfRule>
  </conditionalFormatting>
  <conditionalFormatting sqref="O81:Q83">
    <cfRule type="expression" dxfId="383" priority="9">
      <formula>$Q$80</formula>
    </cfRule>
  </conditionalFormatting>
  <conditionalFormatting sqref="O90:Q94 Q95 O96:Q96">
    <cfRule type="expression" dxfId="382" priority="44">
      <formula>$Q$97</formula>
    </cfRule>
  </conditionalFormatting>
  <conditionalFormatting sqref="O99:Q103">
    <cfRule type="expression" dxfId="381" priority="42">
      <formula>$Q$104</formula>
    </cfRule>
  </conditionalFormatting>
  <conditionalFormatting sqref="O106:Q109">
    <cfRule type="expression" dxfId="380" priority="40">
      <formula>$Q$110</formula>
    </cfRule>
  </conditionalFormatting>
  <conditionalFormatting sqref="P85:Q85">
    <cfRule type="expression" dxfId="379" priority="76">
      <formula>ISNUMBER($P$85)</formula>
    </cfRule>
  </conditionalFormatting>
  <conditionalFormatting sqref="P86:Q86">
    <cfRule type="expression" dxfId="378" priority="75">
      <formula>ISNUMBER($P$86)</formula>
    </cfRule>
  </conditionalFormatting>
  <conditionalFormatting sqref="P87:Q87">
    <cfRule type="expression" dxfId="377" priority="74">
      <formula>ISNUMBER($P$87)</formula>
    </cfRule>
  </conditionalFormatting>
  <conditionalFormatting sqref="P88:Q88">
    <cfRule type="expression" dxfId="376" priority="73">
      <formula>ISNUMBER($P$88)</formula>
    </cfRule>
  </conditionalFormatting>
  <conditionalFormatting sqref="S90">
    <cfRule type="expression" dxfId="375" priority="100">
      <formula>$Q$96</formula>
    </cfRule>
  </conditionalFormatting>
  <conditionalFormatting sqref="S99">
    <cfRule type="expression" dxfId="374" priority="98">
      <formula>$Q$103</formula>
    </cfRule>
  </conditionalFormatting>
  <conditionalFormatting sqref="S63:V69">
    <cfRule type="expression" dxfId="373" priority="102">
      <formula>$Q$69</formula>
    </cfRule>
  </conditionalFormatting>
  <conditionalFormatting sqref="S85:V88">
    <cfRule type="expression" dxfId="372" priority="101">
      <formula>$Q$88</formula>
    </cfRule>
  </conditionalFormatting>
  <conditionalFormatting sqref="Z22">
    <cfRule type="expression" dxfId="371" priority="65">
      <formula>$Q$25</formula>
    </cfRule>
  </conditionalFormatting>
  <conditionalFormatting sqref="Z32">
    <cfRule type="expression" dxfId="370" priority="61">
      <formula>$AF$35</formula>
    </cfRule>
  </conditionalFormatting>
  <conditionalFormatting sqref="Z47">
    <cfRule type="expression" dxfId="369" priority="53">
      <formula>$Q$49</formula>
    </cfRule>
  </conditionalFormatting>
  <conditionalFormatting sqref="Z7:AC10">
    <cfRule type="expression" dxfId="368" priority="70">
      <formula>$Q$8</formula>
    </cfRule>
    <cfRule type="expression" dxfId="367" priority="71">
      <formula>$Q$9</formula>
    </cfRule>
    <cfRule type="expression" dxfId="366" priority="72">
      <formula>$Q$10</formula>
    </cfRule>
  </conditionalFormatting>
  <conditionalFormatting sqref="Z12:AC15">
    <cfRule type="expression" dxfId="365" priority="67">
      <formula>$Q$13</formula>
    </cfRule>
    <cfRule type="expression" dxfId="364" priority="68">
      <formula>$Q$14</formula>
    </cfRule>
    <cfRule type="expression" dxfId="363" priority="69">
      <formula>$Q$15</formula>
    </cfRule>
  </conditionalFormatting>
  <conditionalFormatting sqref="Z17:AC20">
    <cfRule type="expression" dxfId="362" priority="66">
      <formula>$Q$19</formula>
    </cfRule>
  </conditionalFormatting>
  <conditionalFormatting sqref="Z22:AC25">
    <cfRule type="expression" dxfId="361" priority="21">
      <formula>$Q$24</formula>
    </cfRule>
  </conditionalFormatting>
  <conditionalFormatting sqref="Z27:AC30">
    <cfRule type="expression" dxfId="360" priority="62">
      <formula>$Q$28</formula>
    </cfRule>
    <cfRule type="expression" dxfId="359" priority="63">
      <formula>$Q$29</formula>
    </cfRule>
    <cfRule type="expression" dxfId="358" priority="64">
      <formula>$Q$30</formula>
    </cfRule>
  </conditionalFormatting>
  <conditionalFormatting sqref="Z32:AC35">
    <cfRule type="expression" dxfId="357" priority="20">
      <formula>$Q$34</formula>
    </cfRule>
  </conditionalFormatting>
  <conditionalFormatting sqref="Z37:AC40">
    <cfRule type="expression" dxfId="356" priority="3">
      <formula>$AF$39</formula>
    </cfRule>
    <cfRule type="expression" dxfId="355" priority="59">
      <formula>$Q$40</formula>
    </cfRule>
  </conditionalFormatting>
  <conditionalFormatting sqref="Z42:AC45">
    <cfRule type="expression" dxfId="354" priority="54">
      <formula>$Q$43</formula>
    </cfRule>
    <cfRule type="expression" dxfId="353" priority="55">
      <formula>$Q$44</formula>
    </cfRule>
    <cfRule type="expression" dxfId="352" priority="56">
      <formula>$Q$45</formula>
    </cfRule>
  </conditionalFormatting>
  <conditionalFormatting sqref="Z47:AC50">
    <cfRule type="expression" dxfId="351" priority="2">
      <formula>$AF$50</formula>
    </cfRule>
  </conditionalFormatting>
  <conditionalFormatting sqref="Z52:AC55">
    <cfRule type="expression" dxfId="350" priority="52">
      <formula>$Q$55</formula>
    </cfRule>
  </conditionalFormatting>
  <conditionalFormatting sqref="Z57:AC61">
    <cfRule type="expression" dxfId="349" priority="49">
      <formula>$Q$58</formula>
    </cfRule>
    <cfRule type="expression" dxfId="348" priority="48">
      <formula>$Q$59</formula>
    </cfRule>
    <cfRule type="expression" dxfId="347" priority="50">
      <formula>$Q$60</formula>
    </cfRule>
    <cfRule type="expression" dxfId="346" priority="51">
      <formula>$Q$61</formula>
    </cfRule>
  </conditionalFormatting>
  <conditionalFormatting sqref="Z73:AC78">
    <cfRule type="expression" dxfId="345" priority="47">
      <formula>$Q$78</formula>
    </cfRule>
    <cfRule type="expression" dxfId="344" priority="1">
      <formula>OR($AF$77,$AF$76,$AF$75)</formula>
    </cfRule>
  </conditionalFormatting>
  <conditionalFormatting sqref="Z80:AC83">
    <cfRule type="expression" dxfId="343" priority="45">
      <formula>$Q$81</formula>
    </cfRule>
    <cfRule type="expression" dxfId="342" priority="46">
      <formula>$Q$83</formula>
    </cfRule>
    <cfRule type="expression" dxfId="341" priority="5">
      <formula>$Q$82</formula>
    </cfRule>
  </conditionalFormatting>
  <conditionalFormatting sqref="Z90:AC97">
    <cfRule type="expression" dxfId="340" priority="43">
      <formula>$Q$97</formula>
    </cfRule>
  </conditionalFormatting>
  <conditionalFormatting sqref="Z99:AC104">
    <cfRule type="expression" dxfId="339" priority="41">
      <formula>$Q$104</formula>
    </cfRule>
  </conditionalFormatting>
  <conditionalFormatting sqref="Z106:AC112">
    <cfRule type="expression" dxfId="338" priority="22">
      <formula>$AF$112&gt;2</formula>
    </cfRule>
    <cfRule type="expression" dxfId="337" priority="23">
      <formula>AND(AF112&gt;=1, AF112&lt;=2)</formula>
    </cfRule>
    <cfRule type="expression" dxfId="336" priority="24">
      <formula>$Q$110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E5928-F0C5-416A-88E8-E0C214156102}">
  <sheetPr codeName="Sheet13">
    <tabColor theme="6" tint="0.39997558519241921"/>
  </sheetPr>
  <dimension ref="B1:AW124"/>
  <sheetViews>
    <sheetView showGridLines="0" zoomScale="55" zoomScaleNormal="55" workbookViewId="0">
      <selection activeCell="AG5" sqref="AG5:AJ17"/>
    </sheetView>
  </sheetViews>
  <sheetFormatPr baseColWidth="10" defaultColWidth="8.6640625" defaultRowHeight="18"/>
  <cols>
    <col min="1" max="1" width="4.33203125" style="90" customWidth="1"/>
    <col min="2" max="2" width="3.33203125" style="90" customWidth="1"/>
    <col min="3" max="6" width="8" style="90" customWidth="1"/>
    <col min="7" max="9" width="3.33203125" style="90" customWidth="1"/>
    <col min="10" max="10" width="9.6640625" style="130" customWidth="1"/>
    <col min="11" max="13" width="12.83203125" style="231" customWidth="1"/>
    <col min="14" max="14" width="2.83203125" style="90" customWidth="1"/>
    <col min="15" max="15" width="13.1640625" style="145" bestFit="1" customWidth="1"/>
    <col min="16" max="16" width="3.5" style="131" bestFit="1" customWidth="1"/>
    <col min="17" max="17" width="24.1640625" style="145" bestFit="1" customWidth="1"/>
    <col min="18" max="18" width="3.5" style="131" bestFit="1" customWidth="1"/>
    <col min="19" max="19" width="28.33203125" style="145" bestFit="1" customWidth="1"/>
    <col min="20" max="20" width="3.5" style="131" bestFit="1" customWidth="1"/>
    <col min="21" max="21" width="27.6640625" style="145" customWidth="1"/>
    <col min="22" max="22" width="3.5" style="131" bestFit="1" customWidth="1"/>
    <col min="23" max="23" width="17.33203125" style="145" customWidth="1"/>
    <col min="24" max="24" width="5.6640625" style="97" bestFit="1" customWidth="1"/>
    <col min="25" max="25" width="3.1640625" style="90" customWidth="1"/>
    <col min="26" max="29" width="7.5" style="90" customWidth="1"/>
    <col min="30" max="32" width="3.33203125" style="90" customWidth="1"/>
    <col min="33" max="36" width="19.33203125" style="90" customWidth="1"/>
    <col min="37" max="37" width="3.33203125" style="90" customWidth="1"/>
    <col min="38" max="38" width="8.6640625" style="103"/>
    <col min="39" max="39" width="27.33203125" style="103" bestFit="1" customWidth="1"/>
    <col min="40" max="40" width="27.83203125" style="103" bestFit="1" customWidth="1"/>
    <col min="41" max="41" width="20.1640625" style="103" bestFit="1" customWidth="1"/>
    <col min="42" max="42" width="8.83203125" style="103" bestFit="1" customWidth="1"/>
    <col min="43" max="43" width="8.33203125" style="102" bestFit="1" customWidth="1"/>
    <col min="44" max="44" width="16.5" style="102" bestFit="1" customWidth="1"/>
    <col min="45" max="45" width="13.6640625" style="97" bestFit="1" customWidth="1"/>
    <col min="46" max="46" width="12.83203125" style="97" customWidth="1"/>
    <col min="47" max="47" width="13.6640625" style="103" bestFit="1" customWidth="1"/>
    <col min="48" max="48" width="18.33203125" style="90" bestFit="1" customWidth="1"/>
    <col min="49" max="16384" width="8.6640625" style="90"/>
  </cols>
  <sheetData>
    <row r="1" spans="2:49" ht="19" thickBot="1"/>
    <row r="2" spans="2:49" ht="16">
      <c r="B2" s="635" t="s">
        <v>81</v>
      </c>
      <c r="C2" s="636"/>
      <c r="D2" s="636"/>
      <c r="E2" s="636"/>
      <c r="F2" s="636"/>
      <c r="G2" s="637"/>
      <c r="H2" s="174"/>
      <c r="I2" s="635" t="s">
        <v>87</v>
      </c>
      <c r="J2" s="636"/>
      <c r="K2" s="636"/>
      <c r="L2" s="636"/>
      <c r="M2" s="636"/>
      <c r="N2" s="636"/>
      <c r="O2" s="636"/>
      <c r="P2" s="636"/>
      <c r="Q2" s="636"/>
      <c r="R2" s="636"/>
      <c r="S2" s="636"/>
      <c r="T2" s="636"/>
      <c r="U2" s="636"/>
      <c r="V2" s="636"/>
      <c r="W2" s="636"/>
      <c r="X2" s="636"/>
      <c r="Y2" s="636"/>
      <c r="Z2" s="636"/>
      <c r="AA2" s="636"/>
      <c r="AB2" s="636"/>
      <c r="AC2" s="636"/>
      <c r="AD2" s="637"/>
      <c r="AE2" s="174"/>
      <c r="AF2" s="635" t="s">
        <v>454</v>
      </c>
      <c r="AG2" s="636"/>
      <c r="AH2" s="636"/>
      <c r="AI2" s="636"/>
      <c r="AJ2" s="636"/>
      <c r="AK2" s="637"/>
    </row>
    <row r="3" spans="2:49" ht="17" thickBot="1">
      <c r="B3" s="638"/>
      <c r="C3" s="639"/>
      <c r="D3" s="639"/>
      <c r="E3" s="639"/>
      <c r="F3" s="639"/>
      <c r="G3" s="640"/>
      <c r="H3" s="174"/>
      <c r="I3" s="638"/>
      <c r="J3" s="639"/>
      <c r="K3" s="639"/>
      <c r="L3" s="639"/>
      <c r="M3" s="639"/>
      <c r="N3" s="639"/>
      <c r="O3" s="639"/>
      <c r="P3" s="639"/>
      <c r="Q3" s="639"/>
      <c r="R3" s="639"/>
      <c r="S3" s="639"/>
      <c r="T3" s="639"/>
      <c r="U3" s="639"/>
      <c r="V3" s="639"/>
      <c r="W3" s="639"/>
      <c r="X3" s="639"/>
      <c r="Y3" s="639"/>
      <c r="Z3" s="639"/>
      <c r="AA3" s="639"/>
      <c r="AB3" s="639"/>
      <c r="AC3" s="639"/>
      <c r="AD3" s="640"/>
      <c r="AE3" s="174"/>
      <c r="AF3" s="638"/>
      <c r="AG3" s="639"/>
      <c r="AH3" s="639"/>
      <c r="AI3" s="639"/>
      <c r="AJ3" s="639"/>
      <c r="AK3" s="640"/>
    </row>
    <row r="4" spans="2:49">
      <c r="B4" s="69"/>
      <c r="C4" s="68"/>
      <c r="D4" s="68"/>
      <c r="E4" s="68"/>
      <c r="F4" s="68"/>
      <c r="G4" s="70"/>
      <c r="H4" s="174"/>
      <c r="I4" s="69"/>
      <c r="J4" s="56"/>
      <c r="K4" s="224"/>
      <c r="L4" s="224"/>
      <c r="M4" s="224"/>
      <c r="N4" s="68"/>
      <c r="O4" s="40"/>
      <c r="P4" s="25"/>
      <c r="Q4" s="40"/>
      <c r="R4" s="25"/>
      <c r="S4" s="40"/>
      <c r="T4" s="25"/>
      <c r="U4" s="40"/>
      <c r="V4" s="25"/>
      <c r="W4" s="40"/>
      <c r="X4" s="25"/>
      <c r="Y4" s="68"/>
      <c r="Z4" s="68"/>
      <c r="AA4" s="68"/>
      <c r="AB4" s="68"/>
      <c r="AC4" s="68"/>
      <c r="AD4" s="70"/>
      <c r="AE4" s="174"/>
      <c r="AF4" s="69"/>
      <c r="AG4" s="68"/>
      <c r="AH4" s="68"/>
      <c r="AI4" s="68"/>
      <c r="AJ4" s="68"/>
      <c r="AK4" s="70"/>
      <c r="AM4" s="187" t="s">
        <v>719</v>
      </c>
      <c r="AN4" s="187" t="s">
        <v>720</v>
      </c>
    </row>
    <row r="5" spans="2:49" ht="18" customHeight="1">
      <c r="B5" s="69"/>
      <c r="C5" s="864"/>
      <c r="D5" s="865"/>
      <c r="E5" s="865"/>
      <c r="F5" s="866"/>
      <c r="G5" s="70"/>
      <c r="H5" s="174"/>
      <c r="I5" s="69"/>
      <c r="J5" s="28" t="s">
        <v>16</v>
      </c>
      <c r="K5" s="225" t="s">
        <v>859</v>
      </c>
      <c r="L5" s="224"/>
      <c r="M5" s="224"/>
      <c r="N5" s="68"/>
      <c r="O5" s="40"/>
      <c r="P5" s="25"/>
      <c r="Q5" s="40"/>
      <c r="R5" s="25"/>
      <c r="S5" s="40"/>
      <c r="T5" s="25"/>
      <c r="U5" s="40"/>
      <c r="V5" s="25"/>
      <c r="W5" s="40"/>
      <c r="X5" s="25"/>
      <c r="Y5" s="68"/>
      <c r="Z5" s="68"/>
      <c r="AA5" s="68"/>
      <c r="AB5" s="68"/>
      <c r="AC5" s="68"/>
      <c r="AD5" s="70"/>
      <c r="AE5" s="174"/>
      <c r="AF5" s="69"/>
      <c r="AG5" s="849" t="str">
        <f>IF(OR(AND(AM5=0, AN5=1), AND(AM5=1, AN5=0)), Feedback_List!B48, IF(OR(AM5=0, AN5=0), "", IF(OR(AM5=1, AN5=1), Feedback_List!B48, "")))</f>
        <v/>
      </c>
      <c r="AH5" s="850"/>
      <c r="AI5" s="850"/>
      <c r="AJ5" s="851"/>
      <c r="AK5" s="70"/>
      <c r="AM5" s="188">
        <f>IF(AND(SUM(AM8:AQ10)=0),0,IF(AND(SUM(AM8:AQ10)&lt;3),1, 2))</f>
        <v>0</v>
      </c>
      <c r="AN5" s="188">
        <f>IF(AND(SUM(AM14:AQ16)=0),0,IF(AND(SUM(AM14:AQ16)&lt;3),1, 2))</f>
        <v>0</v>
      </c>
      <c r="AT5" s="109" t="s">
        <v>434</v>
      </c>
      <c r="AU5" s="109" t="s">
        <v>435</v>
      </c>
      <c r="AV5" s="109" t="s">
        <v>435</v>
      </c>
      <c r="AW5" s="691" t="s">
        <v>505</v>
      </c>
    </row>
    <row r="6" spans="2:49">
      <c r="B6" s="69"/>
      <c r="C6" s="867"/>
      <c r="D6" s="868"/>
      <c r="E6" s="868"/>
      <c r="F6" s="869"/>
      <c r="G6" s="70"/>
      <c r="H6" s="174"/>
      <c r="I6" s="69"/>
      <c r="J6" s="28"/>
      <c r="K6" s="225"/>
      <c r="L6" s="224"/>
      <c r="M6" s="224"/>
      <c r="N6" s="68"/>
      <c r="O6" s="40"/>
      <c r="P6" s="25"/>
      <c r="Q6" s="40"/>
      <c r="R6" s="25"/>
      <c r="S6" s="40"/>
      <c r="T6" s="25"/>
      <c r="U6" s="40"/>
      <c r="V6" s="25"/>
      <c r="W6" s="40"/>
      <c r="X6" s="25"/>
      <c r="Y6" s="68"/>
      <c r="Z6" s="68"/>
      <c r="AA6" s="68"/>
      <c r="AB6" s="68"/>
      <c r="AC6" s="68"/>
      <c r="AD6" s="70"/>
      <c r="AE6" s="174"/>
      <c r="AF6" s="69"/>
      <c r="AG6" s="852"/>
      <c r="AH6" s="853"/>
      <c r="AI6" s="853"/>
      <c r="AJ6" s="854"/>
      <c r="AK6" s="70"/>
      <c r="AT6" s="188"/>
      <c r="AU6" s="188" t="s">
        <v>503</v>
      </c>
      <c r="AV6" s="188" t="s">
        <v>504</v>
      </c>
      <c r="AW6" s="691"/>
    </row>
    <row r="7" spans="2:49" ht="22.5" customHeight="1">
      <c r="B7" s="69"/>
      <c r="C7" s="867"/>
      <c r="D7" s="868"/>
      <c r="E7" s="868"/>
      <c r="F7" s="869"/>
      <c r="G7" s="70"/>
      <c r="H7" s="174"/>
      <c r="I7" s="69"/>
      <c r="J7" s="858">
        <v>1.1000000000000001</v>
      </c>
      <c r="K7" s="787" t="s">
        <v>612</v>
      </c>
      <c r="L7" s="787"/>
      <c r="M7" s="787"/>
      <c r="N7" s="68"/>
      <c r="O7" s="863" t="s">
        <v>576</v>
      </c>
      <c r="P7" s="863"/>
      <c r="Q7" s="863"/>
      <c r="R7" s="863"/>
      <c r="S7" s="863"/>
      <c r="T7" s="863"/>
      <c r="U7" s="863"/>
      <c r="V7" s="863"/>
      <c r="W7" s="863"/>
      <c r="X7" s="863"/>
      <c r="Y7" s="68"/>
      <c r="Z7" s="829" t="s">
        <v>80</v>
      </c>
      <c r="AA7" s="830"/>
      <c r="AB7" s="830"/>
      <c r="AC7" s="831"/>
      <c r="AD7" s="70"/>
      <c r="AE7" s="174"/>
      <c r="AF7" s="69"/>
      <c r="AG7" s="852"/>
      <c r="AH7" s="853"/>
      <c r="AI7" s="853"/>
      <c r="AJ7" s="854"/>
      <c r="AK7" s="70"/>
      <c r="AM7" s="817" t="s">
        <v>721</v>
      </c>
      <c r="AN7" s="818"/>
      <c r="AO7" s="818"/>
      <c r="AP7" s="818"/>
      <c r="AQ7" s="819"/>
      <c r="AR7" s="187" t="s">
        <v>592</v>
      </c>
      <c r="AT7" s="114">
        <v>1</v>
      </c>
      <c r="AU7" s="114">
        <v>32</v>
      </c>
      <c r="AV7" s="114">
        <v>8</v>
      </c>
      <c r="AW7" s="206">
        <f>AV7/AU7</f>
        <v>0.25</v>
      </c>
    </row>
    <row r="8" spans="2:49" ht="22.5" customHeight="1">
      <c r="B8" s="69"/>
      <c r="C8" s="867"/>
      <c r="D8" s="868"/>
      <c r="E8" s="868"/>
      <c r="F8" s="869"/>
      <c r="G8" s="70"/>
      <c r="H8" s="174"/>
      <c r="I8" s="69"/>
      <c r="J8" s="858"/>
      <c r="K8" s="787"/>
      <c r="L8" s="787"/>
      <c r="M8" s="787"/>
      <c r="N8" s="68"/>
      <c r="O8" s="244" t="s">
        <v>572</v>
      </c>
      <c r="P8" s="243" t="b">
        <v>0</v>
      </c>
      <c r="Q8" s="237" t="s">
        <v>561</v>
      </c>
      <c r="R8" s="243" t="b">
        <v>0</v>
      </c>
      <c r="S8" s="237" t="s">
        <v>562</v>
      </c>
      <c r="T8" s="243" t="b">
        <v>0</v>
      </c>
      <c r="U8" s="237" t="s">
        <v>724</v>
      </c>
      <c r="V8" s="243" t="b">
        <v>0</v>
      </c>
      <c r="W8" s="237" t="s">
        <v>563</v>
      </c>
      <c r="X8" s="243" t="b">
        <v>0</v>
      </c>
      <c r="Y8" s="68"/>
      <c r="Z8" s="832"/>
      <c r="AA8" s="833"/>
      <c r="AB8" s="833"/>
      <c r="AC8" s="834"/>
      <c r="AD8" s="70"/>
      <c r="AE8" s="174"/>
      <c r="AF8" s="69"/>
      <c r="AG8" s="852"/>
      <c r="AH8" s="853"/>
      <c r="AI8" s="853"/>
      <c r="AJ8" s="854"/>
      <c r="AK8" s="70"/>
      <c r="AM8" s="123">
        <f>IF(P8,1,0)</f>
        <v>0</v>
      </c>
      <c r="AN8" s="102">
        <f>IF(R8,1,0)</f>
        <v>0</v>
      </c>
      <c r="AO8" s="102">
        <f>IF(T8,1,0)</f>
        <v>0</v>
      </c>
      <c r="AP8" s="102">
        <f>IF(V8,1,0)</f>
        <v>0</v>
      </c>
      <c r="AQ8" s="122">
        <f>IF(X8,1,0)</f>
        <v>0</v>
      </c>
      <c r="AR8" s="698">
        <f>IF(SUM(AM8:AQ10)&gt;=3,10,0)</f>
        <v>0</v>
      </c>
      <c r="AT8" s="114">
        <v>2</v>
      </c>
      <c r="AU8" s="114">
        <v>10</v>
      </c>
      <c r="AV8" s="114">
        <v>3</v>
      </c>
      <c r="AW8" s="206">
        <f>AV8/AU8</f>
        <v>0.3</v>
      </c>
    </row>
    <row r="9" spans="2:49" ht="22.5" customHeight="1">
      <c r="B9" s="69"/>
      <c r="C9" s="867"/>
      <c r="D9" s="868"/>
      <c r="E9" s="868"/>
      <c r="F9" s="869"/>
      <c r="G9" s="70"/>
      <c r="H9" s="174"/>
      <c r="I9" s="69"/>
      <c r="J9" s="858"/>
      <c r="K9" s="787"/>
      <c r="L9" s="787"/>
      <c r="M9" s="787"/>
      <c r="N9" s="68"/>
      <c r="O9" s="237" t="s">
        <v>564</v>
      </c>
      <c r="P9" s="243" t="b">
        <v>0</v>
      </c>
      <c r="Q9" s="237" t="s">
        <v>565</v>
      </c>
      <c r="R9" s="243" t="b">
        <v>0</v>
      </c>
      <c r="S9" s="237" t="s">
        <v>566</v>
      </c>
      <c r="T9" s="243" t="b">
        <v>0</v>
      </c>
      <c r="U9" s="237" t="s">
        <v>723</v>
      </c>
      <c r="V9" s="243" t="b">
        <v>0</v>
      </c>
      <c r="W9" s="237" t="s">
        <v>567</v>
      </c>
      <c r="X9" s="243" t="b">
        <v>0</v>
      </c>
      <c r="Y9" s="68"/>
      <c r="Z9" s="832"/>
      <c r="AA9" s="833"/>
      <c r="AB9" s="833"/>
      <c r="AC9" s="834"/>
      <c r="AD9" s="70"/>
      <c r="AE9" s="174"/>
      <c r="AF9" s="69"/>
      <c r="AG9" s="852"/>
      <c r="AH9" s="853"/>
      <c r="AI9" s="853"/>
      <c r="AJ9" s="854"/>
      <c r="AK9" s="70"/>
      <c r="AM9" s="123">
        <f>IF(P9,1,0)</f>
        <v>0</v>
      </c>
      <c r="AN9" s="102">
        <f>IF(R9,1,0)</f>
        <v>0</v>
      </c>
      <c r="AO9" s="102">
        <f>IF(T9,1,0)</f>
        <v>0</v>
      </c>
      <c r="AP9" s="102">
        <f>IF(V9,1,0)</f>
        <v>0</v>
      </c>
      <c r="AQ9" s="122">
        <f>IF(X9,1,0)</f>
        <v>0</v>
      </c>
      <c r="AR9" s="699"/>
      <c r="AT9" s="114">
        <v>3</v>
      </c>
      <c r="AU9" s="114">
        <v>12</v>
      </c>
      <c r="AV9" s="114">
        <v>1</v>
      </c>
      <c r="AW9" s="206">
        <f>AV9/AU9</f>
        <v>8.3333333333333329E-2</v>
      </c>
    </row>
    <row r="10" spans="2:49" ht="22.5" customHeight="1">
      <c r="B10" s="69"/>
      <c r="C10" s="867"/>
      <c r="D10" s="868"/>
      <c r="E10" s="868"/>
      <c r="F10" s="869"/>
      <c r="G10" s="70"/>
      <c r="H10" s="174"/>
      <c r="I10" s="69"/>
      <c r="J10" s="858"/>
      <c r="K10" s="787"/>
      <c r="L10" s="787"/>
      <c r="M10" s="787"/>
      <c r="N10" s="68"/>
      <c r="O10" s="237" t="s">
        <v>568</v>
      </c>
      <c r="P10" s="243" t="b">
        <v>0</v>
      </c>
      <c r="Q10" s="237" t="s">
        <v>569</v>
      </c>
      <c r="R10" s="243" t="b">
        <v>0</v>
      </c>
      <c r="S10" s="237" t="s">
        <v>570</v>
      </c>
      <c r="T10" s="243" t="b">
        <v>0</v>
      </c>
      <c r="U10" s="237" t="s">
        <v>725</v>
      </c>
      <c r="V10" s="243" t="b">
        <v>0</v>
      </c>
      <c r="W10" s="237" t="s">
        <v>571</v>
      </c>
      <c r="X10" s="243" t="b">
        <v>0</v>
      </c>
      <c r="Y10" s="68"/>
      <c r="Z10" s="832"/>
      <c r="AA10" s="833"/>
      <c r="AB10" s="833"/>
      <c r="AC10" s="834"/>
      <c r="AD10" s="70"/>
      <c r="AE10" s="174"/>
      <c r="AF10" s="69"/>
      <c r="AG10" s="852"/>
      <c r="AH10" s="853"/>
      <c r="AI10" s="853"/>
      <c r="AJ10" s="854"/>
      <c r="AK10" s="70"/>
      <c r="AM10" s="110">
        <f>IF(P10,1,0)</f>
        <v>0</v>
      </c>
      <c r="AN10" s="204">
        <f>IF(R10,1,0)</f>
        <v>0</v>
      </c>
      <c r="AO10" s="204">
        <f>IF(T10,1,0)</f>
        <v>0</v>
      </c>
      <c r="AP10" s="204">
        <f>IF(V10,1,0)</f>
        <v>0</v>
      </c>
      <c r="AQ10" s="111">
        <f>IF(X10,1,0)</f>
        <v>0</v>
      </c>
      <c r="AR10" s="700"/>
      <c r="AT10" s="114">
        <v>4</v>
      </c>
      <c r="AU10" s="114">
        <v>13</v>
      </c>
      <c r="AV10" s="114">
        <v>10</v>
      </c>
      <c r="AW10" s="206">
        <f>AV10/AU10</f>
        <v>0.76923076923076927</v>
      </c>
    </row>
    <row r="11" spans="2:49" ht="22.5" customHeight="1">
      <c r="B11" s="69"/>
      <c r="C11" s="867"/>
      <c r="D11" s="868"/>
      <c r="E11" s="868"/>
      <c r="F11" s="869"/>
      <c r="G11" s="70"/>
      <c r="H11" s="174"/>
      <c r="I11" s="69"/>
      <c r="J11" s="858"/>
      <c r="K11" s="787"/>
      <c r="L11" s="787"/>
      <c r="M11" s="787"/>
      <c r="N11" s="68"/>
      <c r="O11" s="237" t="s">
        <v>1151</v>
      </c>
      <c r="P11" s="243" t="b">
        <v>0</v>
      </c>
      <c r="Q11" s="237" t="s">
        <v>1152</v>
      </c>
      <c r="R11" s="243" t="b">
        <v>0</v>
      </c>
      <c r="S11" s="237" t="s">
        <v>1153</v>
      </c>
      <c r="T11" s="243" t="b">
        <v>0</v>
      </c>
      <c r="U11" s="237" t="s">
        <v>1154</v>
      </c>
      <c r="V11" s="243" t="b">
        <v>0</v>
      </c>
      <c r="W11" s="237" t="s">
        <v>1155</v>
      </c>
      <c r="X11" s="243" t="b">
        <v>0</v>
      </c>
      <c r="Y11" s="68"/>
      <c r="Z11" s="832"/>
      <c r="AA11" s="833"/>
      <c r="AB11" s="833"/>
      <c r="AC11" s="834"/>
      <c r="AD11" s="70"/>
      <c r="AE11" s="174"/>
      <c r="AF11" s="69"/>
      <c r="AG11" s="852"/>
      <c r="AH11" s="853"/>
      <c r="AI11" s="853"/>
      <c r="AJ11" s="854"/>
      <c r="AK11" s="70"/>
      <c r="AM11" s="110">
        <f>IF(P11,1,0)</f>
        <v>0</v>
      </c>
      <c r="AN11" s="204">
        <f>IF(R11,1,0)</f>
        <v>0</v>
      </c>
      <c r="AO11" s="204">
        <f>IF(T11,1,0)</f>
        <v>0</v>
      </c>
      <c r="AP11" s="204">
        <f>IF(V11,1,0)</f>
        <v>0</v>
      </c>
      <c r="AQ11" s="111">
        <f>IF(X11,1,0)</f>
        <v>0</v>
      </c>
      <c r="AT11" s="187"/>
      <c r="AU11" s="187"/>
      <c r="AV11" s="187"/>
      <c r="AW11" s="206"/>
    </row>
    <row r="12" spans="2:49" ht="25" customHeight="1">
      <c r="B12" s="69"/>
      <c r="C12" s="867"/>
      <c r="D12" s="868"/>
      <c r="E12" s="868"/>
      <c r="F12" s="869"/>
      <c r="G12" s="70"/>
      <c r="H12" s="174"/>
      <c r="I12" s="69"/>
      <c r="J12" s="858"/>
      <c r="K12" s="787"/>
      <c r="L12" s="787"/>
      <c r="M12" s="787"/>
      <c r="N12" s="68"/>
      <c r="O12" s="62"/>
      <c r="P12" s="18"/>
      <c r="Q12" s="62"/>
      <c r="R12" s="18"/>
      <c r="S12" s="62"/>
      <c r="T12" s="18"/>
      <c r="U12" s="62"/>
      <c r="V12" s="18"/>
      <c r="W12" s="62"/>
      <c r="X12" s="18"/>
      <c r="Y12" s="68"/>
      <c r="Z12" s="832"/>
      <c r="AA12" s="833"/>
      <c r="AB12" s="833"/>
      <c r="AC12" s="834"/>
      <c r="AD12" s="70"/>
      <c r="AE12" s="174"/>
      <c r="AF12" s="69"/>
      <c r="AG12" s="852"/>
      <c r="AH12" s="853"/>
      <c r="AI12" s="853"/>
      <c r="AJ12" s="854"/>
      <c r="AK12" s="70"/>
      <c r="AT12" s="114">
        <v>5</v>
      </c>
      <c r="AU12" s="114">
        <v>8</v>
      </c>
      <c r="AV12" s="114">
        <v>3</v>
      </c>
      <c r="AW12" s="206">
        <f>AV12/AU12</f>
        <v>0.375</v>
      </c>
    </row>
    <row r="13" spans="2:49" ht="22.5" customHeight="1">
      <c r="B13" s="69"/>
      <c r="C13" s="867"/>
      <c r="D13" s="868"/>
      <c r="E13" s="868"/>
      <c r="F13" s="869"/>
      <c r="G13" s="70"/>
      <c r="H13" s="174"/>
      <c r="I13" s="69"/>
      <c r="J13" s="858"/>
      <c r="K13" s="787"/>
      <c r="L13" s="787"/>
      <c r="M13" s="787"/>
      <c r="N13" s="68"/>
      <c r="O13" s="863" t="s">
        <v>577</v>
      </c>
      <c r="P13" s="863"/>
      <c r="Q13" s="863"/>
      <c r="R13" s="863"/>
      <c r="S13" s="863"/>
      <c r="T13" s="863"/>
      <c r="U13" s="863"/>
      <c r="V13" s="863"/>
      <c r="W13" s="863"/>
      <c r="X13" s="863"/>
      <c r="Y13" s="68"/>
      <c r="Z13" s="832"/>
      <c r="AA13" s="833"/>
      <c r="AB13" s="833"/>
      <c r="AC13" s="834"/>
      <c r="AD13" s="70"/>
      <c r="AE13" s="174"/>
      <c r="AF13" s="69"/>
      <c r="AG13" s="852"/>
      <c r="AH13" s="853"/>
      <c r="AI13" s="853"/>
      <c r="AJ13" s="854"/>
      <c r="AK13" s="70"/>
      <c r="AM13" s="817" t="s">
        <v>722</v>
      </c>
      <c r="AN13" s="818"/>
      <c r="AO13" s="818"/>
      <c r="AP13" s="818"/>
      <c r="AQ13" s="819"/>
      <c r="AR13" s="187" t="s">
        <v>592</v>
      </c>
      <c r="AT13" s="264" t="s">
        <v>596</v>
      </c>
      <c r="AU13" s="264">
        <f>SUM(AU7:AU12)</f>
        <v>75</v>
      </c>
      <c r="AV13" s="264">
        <f>SUM(AV7:AV12)</f>
        <v>25</v>
      </c>
    </row>
    <row r="14" spans="2:49" ht="22.5" customHeight="1">
      <c r="B14" s="69"/>
      <c r="C14" s="867"/>
      <c r="D14" s="868"/>
      <c r="E14" s="868"/>
      <c r="F14" s="869"/>
      <c r="G14" s="70"/>
      <c r="H14" s="174"/>
      <c r="I14" s="69"/>
      <c r="J14" s="858"/>
      <c r="K14" s="787"/>
      <c r="L14" s="787"/>
      <c r="M14" s="787"/>
      <c r="N14" s="68"/>
      <c r="O14" s="244" t="s">
        <v>572</v>
      </c>
      <c r="P14" s="243" t="b">
        <v>0</v>
      </c>
      <c r="Q14" s="237" t="s">
        <v>561</v>
      </c>
      <c r="R14" s="243" t="b">
        <v>0</v>
      </c>
      <c r="S14" s="237" t="s">
        <v>562</v>
      </c>
      <c r="T14" s="243" t="b">
        <v>0</v>
      </c>
      <c r="U14" s="237" t="s">
        <v>724</v>
      </c>
      <c r="V14" s="243" t="b">
        <v>0</v>
      </c>
      <c r="W14" s="237" t="s">
        <v>563</v>
      </c>
      <c r="X14" s="243" t="b">
        <v>0</v>
      </c>
      <c r="Y14" s="68"/>
      <c r="Z14" s="832"/>
      <c r="AA14" s="833"/>
      <c r="AB14" s="833"/>
      <c r="AC14" s="834"/>
      <c r="AD14" s="70"/>
      <c r="AE14" s="174"/>
      <c r="AF14" s="69"/>
      <c r="AG14" s="852"/>
      <c r="AH14" s="853"/>
      <c r="AI14" s="853"/>
      <c r="AJ14" s="854"/>
      <c r="AK14" s="70"/>
      <c r="AM14" s="123">
        <f>IF(P14,1,0)</f>
        <v>0</v>
      </c>
      <c r="AN14" s="102">
        <f>IF(R14,1,0)</f>
        <v>0</v>
      </c>
      <c r="AO14" s="102">
        <f>IF(T14,1,0)</f>
        <v>0</v>
      </c>
      <c r="AP14" s="102">
        <f>IF(V14,1,0)</f>
        <v>0</v>
      </c>
      <c r="AQ14" s="122">
        <f>IF(X14,1,0)</f>
        <v>0</v>
      </c>
      <c r="AR14" s="698">
        <f>IF(SUM(AM14:AQ16)&gt;=3,10,0)</f>
        <v>0</v>
      </c>
    </row>
    <row r="15" spans="2:49" ht="22.5" customHeight="1">
      <c r="B15" s="69"/>
      <c r="C15" s="867"/>
      <c r="D15" s="868"/>
      <c r="E15" s="868"/>
      <c r="F15" s="869"/>
      <c r="G15" s="70"/>
      <c r="H15" s="174"/>
      <c r="I15" s="69"/>
      <c r="J15" s="858"/>
      <c r="K15" s="787"/>
      <c r="L15" s="787"/>
      <c r="M15" s="787"/>
      <c r="N15" s="68"/>
      <c r="O15" s="237" t="s">
        <v>564</v>
      </c>
      <c r="P15" s="243" t="b">
        <v>0</v>
      </c>
      <c r="Q15" s="237" t="s">
        <v>565</v>
      </c>
      <c r="R15" s="243" t="b">
        <v>0</v>
      </c>
      <c r="S15" s="237" t="s">
        <v>566</v>
      </c>
      <c r="T15" s="243" t="b">
        <v>0</v>
      </c>
      <c r="U15" s="237" t="s">
        <v>723</v>
      </c>
      <c r="V15" s="243" t="b">
        <v>0</v>
      </c>
      <c r="W15" s="237" t="s">
        <v>567</v>
      </c>
      <c r="X15" s="243" t="b">
        <v>0</v>
      </c>
      <c r="Y15" s="68"/>
      <c r="Z15" s="832"/>
      <c r="AA15" s="833"/>
      <c r="AB15" s="833"/>
      <c r="AC15" s="834"/>
      <c r="AD15" s="70"/>
      <c r="AE15" s="174"/>
      <c r="AF15" s="69"/>
      <c r="AG15" s="852"/>
      <c r="AH15" s="853"/>
      <c r="AI15" s="853"/>
      <c r="AJ15" s="854"/>
      <c r="AK15" s="70"/>
      <c r="AM15" s="123">
        <f>IF(P15,1,0)</f>
        <v>0</v>
      </c>
      <c r="AN15" s="102">
        <f>IF(R15,1,0)</f>
        <v>0</v>
      </c>
      <c r="AO15" s="102">
        <f>IF(T15,1,0)</f>
        <v>0</v>
      </c>
      <c r="AP15" s="102">
        <f>IF(V15,1,0)</f>
        <v>0</v>
      </c>
      <c r="AQ15" s="122">
        <f>IF(X15,1,0)</f>
        <v>0</v>
      </c>
      <c r="AR15" s="699"/>
    </row>
    <row r="16" spans="2:49" ht="22.5" customHeight="1">
      <c r="B16" s="69"/>
      <c r="C16" s="867"/>
      <c r="D16" s="868"/>
      <c r="E16" s="868"/>
      <c r="F16" s="869"/>
      <c r="G16" s="70"/>
      <c r="H16" s="174"/>
      <c r="I16" s="69"/>
      <c r="J16" s="858"/>
      <c r="K16" s="787"/>
      <c r="L16" s="787"/>
      <c r="M16" s="787"/>
      <c r="N16" s="68"/>
      <c r="O16" s="237" t="s">
        <v>568</v>
      </c>
      <c r="P16" s="243" t="b">
        <v>0</v>
      </c>
      <c r="Q16" s="237" t="s">
        <v>569</v>
      </c>
      <c r="R16" s="243" t="b">
        <v>0</v>
      </c>
      <c r="S16" s="237" t="s">
        <v>570</v>
      </c>
      <c r="T16" s="243" t="b">
        <v>0</v>
      </c>
      <c r="U16" s="237" t="s">
        <v>725</v>
      </c>
      <c r="V16" s="243" t="b">
        <v>0</v>
      </c>
      <c r="W16" s="237" t="s">
        <v>571</v>
      </c>
      <c r="X16" s="243" t="b">
        <v>0</v>
      </c>
      <c r="Y16" s="68"/>
      <c r="Z16" s="832"/>
      <c r="AA16" s="833"/>
      <c r="AB16" s="833"/>
      <c r="AC16" s="834"/>
      <c r="AD16" s="70"/>
      <c r="AE16" s="174"/>
      <c r="AF16" s="69"/>
      <c r="AG16" s="852"/>
      <c r="AH16" s="853"/>
      <c r="AI16" s="853"/>
      <c r="AJ16" s="854"/>
      <c r="AK16" s="70"/>
      <c r="AM16" s="110">
        <f>IF(P16,1,0)</f>
        <v>0</v>
      </c>
      <c r="AN16" s="204">
        <f>IF(R16,1,0)</f>
        <v>0</v>
      </c>
      <c r="AO16" s="204">
        <f>IF(T16,1,0)</f>
        <v>0</v>
      </c>
      <c r="AP16" s="204">
        <f>IF(V16,1,0)</f>
        <v>0</v>
      </c>
      <c r="AQ16" s="111">
        <f>IF(X16,1,0)</f>
        <v>0</v>
      </c>
      <c r="AR16" s="700"/>
    </row>
    <row r="17" spans="2:44" ht="22.5" customHeight="1">
      <c r="B17" s="69"/>
      <c r="C17" s="867"/>
      <c r="D17" s="868"/>
      <c r="E17" s="868"/>
      <c r="F17" s="869"/>
      <c r="G17" s="70"/>
      <c r="H17" s="174"/>
      <c r="I17" s="69"/>
      <c r="J17" s="57"/>
      <c r="K17" s="265"/>
      <c r="L17" s="265"/>
      <c r="M17" s="265"/>
      <c r="N17" s="68"/>
      <c r="O17" s="237" t="s">
        <v>1151</v>
      </c>
      <c r="P17" s="243" t="b">
        <v>0</v>
      </c>
      <c r="Q17" s="237" t="s">
        <v>1152</v>
      </c>
      <c r="R17" s="243" t="b">
        <v>0</v>
      </c>
      <c r="S17" s="237" t="s">
        <v>1153</v>
      </c>
      <c r="T17" s="243" t="b">
        <v>0</v>
      </c>
      <c r="U17" s="237" t="s">
        <v>1154</v>
      </c>
      <c r="V17" s="243" t="b">
        <v>0</v>
      </c>
      <c r="W17" s="237" t="s">
        <v>1155</v>
      </c>
      <c r="X17" s="243" t="b">
        <v>0</v>
      </c>
      <c r="Y17" s="68"/>
      <c r="Z17" s="835"/>
      <c r="AA17" s="701"/>
      <c r="AB17" s="701"/>
      <c r="AC17" s="836"/>
      <c r="AD17" s="70"/>
      <c r="AE17" s="174"/>
      <c r="AF17" s="69"/>
      <c r="AG17" s="855"/>
      <c r="AH17" s="856"/>
      <c r="AI17" s="856"/>
      <c r="AJ17" s="857"/>
      <c r="AK17" s="70"/>
      <c r="AM17" s="110">
        <f>IF(P17,1,0)</f>
        <v>0</v>
      </c>
      <c r="AN17" s="204">
        <f>IF(R17,1,0)</f>
        <v>0</v>
      </c>
      <c r="AO17" s="204">
        <f>IF(T17,1,0)</f>
        <v>0</v>
      </c>
      <c r="AP17" s="204">
        <f>IF(V17,1,0)</f>
        <v>0</v>
      </c>
      <c r="AQ17" s="111">
        <f>IF(X17,1,0)</f>
        <v>0</v>
      </c>
    </row>
    <row r="18" spans="2:44">
      <c r="B18" s="69"/>
      <c r="C18" s="867"/>
      <c r="D18" s="868"/>
      <c r="E18" s="868"/>
      <c r="F18" s="869"/>
      <c r="G18" s="70"/>
      <c r="H18" s="174"/>
      <c r="I18" s="69"/>
      <c r="J18" s="56"/>
      <c r="K18" s="224"/>
      <c r="L18" s="224"/>
      <c r="M18" s="224"/>
      <c r="N18" s="68"/>
      <c r="O18" s="40"/>
      <c r="P18" s="25"/>
      <c r="Q18" s="40"/>
      <c r="R18" s="25"/>
      <c r="S18" s="40"/>
      <c r="T18" s="25"/>
      <c r="U18" s="40"/>
      <c r="V18" s="25"/>
      <c r="W18" s="40"/>
      <c r="X18" s="25"/>
      <c r="Y18" s="68"/>
      <c r="Z18" s="68"/>
      <c r="AA18" s="68"/>
      <c r="AB18" s="68"/>
      <c r="AC18" s="68"/>
      <c r="AD18" s="70"/>
      <c r="AE18" s="174"/>
      <c r="AF18" s="69"/>
      <c r="AG18" s="68"/>
      <c r="AH18" s="68"/>
      <c r="AI18" s="68"/>
      <c r="AJ18" s="68"/>
      <c r="AK18" s="70"/>
      <c r="AM18" s="138" t="s">
        <v>440</v>
      </c>
      <c r="AN18" s="139" t="s">
        <v>56</v>
      </c>
      <c r="AO18" s="139" t="s">
        <v>484</v>
      </c>
    </row>
    <row r="19" spans="2:44" ht="56.5" customHeight="1">
      <c r="B19" s="69"/>
      <c r="C19" s="867"/>
      <c r="D19" s="868"/>
      <c r="E19" s="868"/>
      <c r="F19" s="869"/>
      <c r="G19" s="70"/>
      <c r="H19" s="174"/>
      <c r="I19" s="69"/>
      <c r="J19" s="858">
        <v>1.2</v>
      </c>
      <c r="K19" s="859" t="s">
        <v>559</v>
      </c>
      <c r="L19" s="859"/>
      <c r="M19" s="859"/>
      <c r="N19" s="249"/>
      <c r="O19" s="788" t="s">
        <v>573</v>
      </c>
      <c r="P19" s="788"/>
      <c r="Q19" s="788"/>
      <c r="R19" s="788"/>
      <c r="S19" s="788"/>
      <c r="T19" s="788"/>
      <c r="U19" s="788"/>
      <c r="V19" s="788"/>
      <c r="W19" s="788"/>
      <c r="X19" s="184" t="b">
        <v>0</v>
      </c>
      <c r="Y19" s="242"/>
      <c r="Z19" s="720" t="s">
        <v>80</v>
      </c>
      <c r="AA19" s="720"/>
      <c r="AB19" s="720"/>
      <c r="AC19" s="720"/>
      <c r="AD19" s="71"/>
      <c r="AE19" s="174"/>
      <c r="AF19" s="69"/>
      <c r="AG19" s="820" t="str" cm="1">
        <f t="array" ref="AG19">IF(OR(AM19:AM21, AM23),
    IF(AM23, Feedback_List!B49,
        IF(AND(AM19, AM20, AM21), "",
            _xlfn.TEXTJOIN(CHAR(10), TRUE,
                AQ19,
                _xlfn._xlws.FILTER(AR19:AR21, NOT(AM19:AM21)))
        )
    ),
    "")</f>
        <v/>
      </c>
      <c r="AH19" s="821"/>
      <c r="AI19" s="821"/>
      <c r="AJ19" s="822"/>
      <c r="AK19" s="70"/>
      <c r="AM19" s="123">
        <f t="shared" ref="AM19:AM24" si="0">IF(X19, 1, 0)</f>
        <v>0</v>
      </c>
      <c r="AN19" s="122">
        <f>IF(AM19,3,0)</f>
        <v>0</v>
      </c>
      <c r="AO19" s="698">
        <f>(SUM(AN19:AN24)+AR14+AR8)*AW7</f>
        <v>0</v>
      </c>
      <c r="AQ19" s="120" t="s">
        <v>779</v>
      </c>
      <c r="AR19" s="124" t="s">
        <v>780</v>
      </c>
    </row>
    <row r="20" spans="2:44" ht="56.5" customHeight="1">
      <c r="B20" s="69"/>
      <c r="C20" s="867"/>
      <c r="D20" s="868"/>
      <c r="E20" s="868"/>
      <c r="F20" s="869"/>
      <c r="G20" s="70"/>
      <c r="H20" s="174"/>
      <c r="I20" s="69"/>
      <c r="J20" s="858"/>
      <c r="K20" s="859"/>
      <c r="L20" s="859"/>
      <c r="M20" s="859"/>
      <c r="N20" s="249"/>
      <c r="O20" s="788" t="s">
        <v>574</v>
      </c>
      <c r="P20" s="788"/>
      <c r="Q20" s="788"/>
      <c r="R20" s="788"/>
      <c r="S20" s="788"/>
      <c r="T20" s="788"/>
      <c r="U20" s="788"/>
      <c r="V20" s="788"/>
      <c r="W20" s="788"/>
      <c r="X20" s="184" t="b">
        <v>0</v>
      </c>
      <c r="Y20" s="242"/>
      <c r="Z20" s="720"/>
      <c r="AA20" s="720"/>
      <c r="AB20" s="720"/>
      <c r="AC20" s="720"/>
      <c r="AD20" s="71"/>
      <c r="AE20" s="174"/>
      <c r="AF20" s="69"/>
      <c r="AG20" s="823"/>
      <c r="AH20" s="824"/>
      <c r="AI20" s="824"/>
      <c r="AJ20" s="825"/>
      <c r="AK20" s="70"/>
      <c r="AM20" s="123">
        <f t="shared" si="0"/>
        <v>0</v>
      </c>
      <c r="AN20" s="122">
        <f>IF(AM20,3,0)</f>
        <v>0</v>
      </c>
      <c r="AO20" s="699"/>
      <c r="AR20" s="124" t="s">
        <v>781</v>
      </c>
    </row>
    <row r="21" spans="2:44" ht="56.5" customHeight="1">
      <c r="B21" s="72"/>
      <c r="C21" s="867"/>
      <c r="D21" s="868"/>
      <c r="E21" s="868"/>
      <c r="F21" s="869"/>
      <c r="G21" s="71"/>
      <c r="H21" s="174"/>
      <c r="I21" s="69"/>
      <c r="J21" s="858"/>
      <c r="K21" s="859"/>
      <c r="L21" s="859"/>
      <c r="M21" s="859"/>
      <c r="N21" s="249"/>
      <c r="O21" s="788" t="s">
        <v>575</v>
      </c>
      <c r="P21" s="788"/>
      <c r="Q21" s="788"/>
      <c r="R21" s="788"/>
      <c r="S21" s="788"/>
      <c r="T21" s="788"/>
      <c r="U21" s="788"/>
      <c r="V21" s="788"/>
      <c r="W21" s="788"/>
      <c r="X21" s="184" t="b">
        <v>0</v>
      </c>
      <c r="Y21" s="242"/>
      <c r="Z21" s="720"/>
      <c r="AA21" s="720"/>
      <c r="AB21" s="720"/>
      <c r="AC21" s="720"/>
      <c r="AD21" s="71"/>
      <c r="AE21" s="174"/>
      <c r="AF21" s="72"/>
      <c r="AG21" s="823"/>
      <c r="AH21" s="824"/>
      <c r="AI21" s="824"/>
      <c r="AJ21" s="825"/>
      <c r="AK21" s="71"/>
      <c r="AM21" s="123">
        <f t="shared" si="0"/>
        <v>0</v>
      </c>
      <c r="AN21" s="122">
        <f>IF(AM21,3,0)</f>
        <v>0</v>
      </c>
      <c r="AO21" s="699"/>
      <c r="AR21" s="124" t="s">
        <v>782</v>
      </c>
    </row>
    <row r="22" spans="2:44" ht="56.5" customHeight="1">
      <c r="B22" s="72"/>
      <c r="C22" s="867"/>
      <c r="D22" s="868"/>
      <c r="E22" s="868"/>
      <c r="F22" s="869"/>
      <c r="G22" s="71"/>
      <c r="H22" s="174"/>
      <c r="I22" s="69"/>
      <c r="J22" s="858"/>
      <c r="K22" s="859"/>
      <c r="L22" s="859"/>
      <c r="M22" s="859"/>
      <c r="N22" s="249"/>
      <c r="O22" s="788" t="s">
        <v>299</v>
      </c>
      <c r="P22" s="788"/>
      <c r="Q22" s="788"/>
      <c r="R22" s="788"/>
      <c r="S22" s="788"/>
      <c r="T22" s="788"/>
      <c r="U22" s="788"/>
      <c r="V22" s="788"/>
      <c r="W22" s="788"/>
      <c r="X22" s="184" t="b">
        <v>0</v>
      </c>
      <c r="Y22" s="242"/>
      <c r="Z22" s="720"/>
      <c r="AA22" s="720"/>
      <c r="AB22" s="720"/>
      <c r="AC22" s="720"/>
      <c r="AD22" s="71"/>
      <c r="AE22" s="174"/>
      <c r="AF22" s="72"/>
      <c r="AG22" s="823"/>
      <c r="AH22" s="824"/>
      <c r="AI22" s="824"/>
      <c r="AJ22" s="825"/>
      <c r="AK22" s="71"/>
      <c r="AM22" s="123">
        <f t="shared" si="0"/>
        <v>0</v>
      </c>
      <c r="AN22" s="122">
        <f>IF(AM22,3,0)</f>
        <v>0</v>
      </c>
      <c r="AO22" s="699"/>
    </row>
    <row r="23" spans="2:44" ht="56.5" customHeight="1">
      <c r="B23" s="72"/>
      <c r="C23" s="867"/>
      <c r="D23" s="868"/>
      <c r="E23" s="868"/>
      <c r="F23" s="869"/>
      <c r="G23" s="71"/>
      <c r="H23" s="174"/>
      <c r="I23" s="69"/>
      <c r="J23" s="858"/>
      <c r="K23" s="859"/>
      <c r="L23" s="859"/>
      <c r="M23" s="859"/>
      <c r="N23" s="249"/>
      <c r="O23" s="788" t="s">
        <v>560</v>
      </c>
      <c r="P23" s="788"/>
      <c r="Q23" s="788"/>
      <c r="R23" s="788"/>
      <c r="S23" s="788"/>
      <c r="T23" s="788"/>
      <c r="U23" s="788"/>
      <c r="V23" s="788"/>
      <c r="W23" s="788"/>
      <c r="X23" s="184" t="b">
        <v>0</v>
      </c>
      <c r="Y23" s="242"/>
      <c r="Z23" s="720"/>
      <c r="AA23" s="720"/>
      <c r="AB23" s="720"/>
      <c r="AC23" s="720"/>
      <c r="AD23" s="71"/>
      <c r="AE23" s="174"/>
      <c r="AF23" s="72"/>
      <c r="AG23" s="823"/>
      <c r="AH23" s="824"/>
      <c r="AI23" s="824"/>
      <c r="AJ23" s="825"/>
      <c r="AK23" s="71"/>
      <c r="AM23" s="123">
        <f t="shared" si="0"/>
        <v>0</v>
      </c>
      <c r="AN23" s="122"/>
      <c r="AO23" s="699"/>
    </row>
    <row r="24" spans="2:44" ht="56.5" customHeight="1">
      <c r="B24" s="72"/>
      <c r="C24" s="870"/>
      <c r="D24" s="871"/>
      <c r="E24" s="871"/>
      <c r="F24" s="872"/>
      <c r="G24" s="71"/>
      <c r="H24" s="174"/>
      <c r="I24" s="73"/>
      <c r="J24" s="858"/>
      <c r="K24" s="859"/>
      <c r="L24" s="859"/>
      <c r="M24" s="859"/>
      <c r="N24" s="249"/>
      <c r="O24" s="788" t="s">
        <v>196</v>
      </c>
      <c r="P24" s="788"/>
      <c r="Q24" s="788"/>
      <c r="R24" s="788"/>
      <c r="S24" s="788"/>
      <c r="T24" s="788"/>
      <c r="U24" s="788"/>
      <c r="V24" s="788"/>
      <c r="W24" s="788"/>
      <c r="X24" s="184" t="b">
        <v>0</v>
      </c>
      <c r="Y24" s="8"/>
      <c r="Z24" s="720"/>
      <c r="AA24" s="720"/>
      <c r="AB24" s="720"/>
      <c r="AC24" s="720"/>
      <c r="AD24" s="74"/>
      <c r="AE24" s="174"/>
      <c r="AF24" s="72"/>
      <c r="AG24" s="826"/>
      <c r="AH24" s="827"/>
      <c r="AI24" s="827"/>
      <c r="AJ24" s="828"/>
      <c r="AK24" s="71"/>
      <c r="AM24" s="123">
        <f t="shared" si="0"/>
        <v>0</v>
      </c>
      <c r="AN24" s="122"/>
      <c r="AO24" s="700"/>
    </row>
    <row r="25" spans="2:44" ht="19" thickBot="1">
      <c r="B25" s="73"/>
      <c r="C25" s="8"/>
      <c r="D25" s="8"/>
      <c r="E25" s="8"/>
      <c r="F25" s="8"/>
      <c r="G25" s="74"/>
      <c r="H25" s="175"/>
      <c r="I25" s="73"/>
      <c r="J25" s="65"/>
      <c r="K25" s="232"/>
      <c r="L25" s="232"/>
      <c r="M25" s="232"/>
      <c r="N25" s="8"/>
      <c r="O25" s="62"/>
      <c r="P25" s="18"/>
      <c r="Q25" s="62"/>
      <c r="R25" s="18"/>
      <c r="S25" s="62"/>
      <c r="T25" s="18"/>
      <c r="U25" s="62"/>
      <c r="V25" s="18"/>
      <c r="W25" s="62"/>
      <c r="X25" s="25"/>
      <c r="Y25" s="8"/>
      <c r="Z25" s="8"/>
      <c r="AA25" s="8"/>
      <c r="AB25" s="8"/>
      <c r="AC25" s="8"/>
      <c r="AD25" s="74"/>
      <c r="AE25" s="175"/>
      <c r="AF25" s="73"/>
      <c r="AG25" s="8"/>
      <c r="AH25" s="8"/>
      <c r="AI25" s="8"/>
      <c r="AJ25" s="8"/>
      <c r="AK25" s="74"/>
      <c r="AM25" s="129">
        <f>SUM(AM19:AM24,AM14:AQ16,AM8:AQ10)</f>
        <v>0</v>
      </c>
      <c r="AN25" s="129">
        <f>SUM(AN18:AN24)+AR14+AR8</f>
        <v>0</v>
      </c>
      <c r="AO25" s="129"/>
    </row>
    <row r="26" spans="2:44" ht="18.5" customHeight="1" thickTop="1">
      <c r="B26" s="73"/>
      <c r="C26" s="873"/>
      <c r="D26" s="874"/>
      <c r="E26" s="874"/>
      <c r="F26" s="875"/>
      <c r="G26" s="74"/>
      <c r="H26" s="175"/>
      <c r="I26" s="73"/>
      <c r="J26" s="28" t="s">
        <v>26</v>
      </c>
      <c r="K26" s="225" t="s">
        <v>860</v>
      </c>
      <c r="L26" s="232"/>
      <c r="M26" s="232"/>
      <c r="N26" s="8"/>
      <c r="O26" s="62"/>
      <c r="P26" s="18"/>
      <c r="Q26" s="62"/>
      <c r="R26" s="18"/>
      <c r="S26" s="62"/>
      <c r="T26" s="18"/>
      <c r="U26" s="62"/>
      <c r="V26" s="18"/>
      <c r="W26" s="62"/>
      <c r="X26" s="25"/>
      <c r="Y26" s="8"/>
      <c r="Z26" s="8"/>
      <c r="AA26" s="8"/>
      <c r="AB26" s="8"/>
      <c r="AC26" s="8"/>
      <c r="AD26" s="74"/>
      <c r="AE26" s="175"/>
      <c r="AF26" s="73"/>
      <c r="AG26" s="837" t="str" cm="1">
        <f t="array" ref="AG26">IF(OR(AM28:AM31, AM33),
    IF(AM33, Feedback_List!B51,
        IF(AND(AM28, AM29, AM30, AM31), "",
            _xlfn.TEXTJOIN(CHAR(10), TRUE,
                AQ28,
                _xlfn._xlws.FILTER(AR28:AR31, NOT(AM28:AM31)))
        )
    ),
    "")</f>
        <v/>
      </c>
      <c r="AH26" s="838"/>
      <c r="AI26" s="838"/>
      <c r="AJ26" s="839"/>
      <c r="AK26" s="74"/>
      <c r="AL26" s="202"/>
      <c r="AM26" s="102"/>
      <c r="AN26" s="203"/>
      <c r="AO26" s="117"/>
    </row>
    <row r="27" spans="2:44">
      <c r="B27" s="73"/>
      <c r="C27" s="876"/>
      <c r="D27" s="877"/>
      <c r="E27" s="877"/>
      <c r="F27" s="878"/>
      <c r="G27" s="74"/>
      <c r="H27" s="175"/>
      <c r="I27" s="73"/>
      <c r="J27" s="65"/>
      <c r="K27" s="232"/>
      <c r="L27" s="232"/>
      <c r="M27" s="232"/>
      <c r="N27" s="8"/>
      <c r="O27" s="62"/>
      <c r="P27" s="18"/>
      <c r="Q27" s="62"/>
      <c r="R27" s="18"/>
      <c r="S27" s="62"/>
      <c r="T27" s="18"/>
      <c r="U27" s="62"/>
      <c r="V27" s="18"/>
      <c r="W27" s="62"/>
      <c r="X27" s="25"/>
      <c r="Y27" s="8"/>
      <c r="Z27" s="8"/>
      <c r="AA27" s="8"/>
      <c r="AB27" s="8"/>
      <c r="AC27" s="8"/>
      <c r="AD27" s="74"/>
      <c r="AE27" s="175"/>
      <c r="AF27" s="73"/>
      <c r="AG27" s="840"/>
      <c r="AH27" s="841"/>
      <c r="AI27" s="841"/>
      <c r="AJ27" s="842"/>
      <c r="AK27" s="74"/>
      <c r="AL27" s="202"/>
      <c r="AM27" s="102"/>
      <c r="AN27" s="204"/>
      <c r="AO27" s="117"/>
    </row>
    <row r="28" spans="2:44" ht="58" customHeight="1">
      <c r="B28" s="69"/>
      <c r="C28" s="876"/>
      <c r="D28" s="877"/>
      <c r="E28" s="877"/>
      <c r="F28" s="878"/>
      <c r="G28" s="70"/>
      <c r="H28" s="175"/>
      <c r="I28" s="73"/>
      <c r="J28" s="858">
        <v>2.1</v>
      </c>
      <c r="K28" s="859" t="s">
        <v>476</v>
      </c>
      <c r="L28" s="859"/>
      <c r="M28" s="859"/>
      <c r="N28" s="8"/>
      <c r="O28" s="788" t="s">
        <v>310</v>
      </c>
      <c r="P28" s="788"/>
      <c r="Q28" s="788"/>
      <c r="R28" s="788"/>
      <c r="S28" s="788"/>
      <c r="T28" s="788"/>
      <c r="U28" s="788"/>
      <c r="V28" s="788"/>
      <c r="W28" s="788"/>
      <c r="X28" s="184" t="b">
        <v>0</v>
      </c>
      <c r="Y28" s="8"/>
      <c r="Z28" s="720" t="s">
        <v>80</v>
      </c>
      <c r="AA28" s="720"/>
      <c r="AB28" s="720"/>
      <c r="AC28" s="720"/>
      <c r="AD28" s="74"/>
      <c r="AE28" s="175"/>
      <c r="AF28" s="69"/>
      <c r="AG28" s="840"/>
      <c r="AH28" s="841"/>
      <c r="AI28" s="841"/>
      <c r="AJ28" s="842"/>
      <c r="AK28" s="70"/>
      <c r="AM28" s="185">
        <f t="shared" ref="AM28:AM33" si="1">IF(X28, 1, 0)</f>
        <v>0</v>
      </c>
      <c r="AN28" s="186">
        <f>IF(AM28,2,0)</f>
        <v>0</v>
      </c>
      <c r="AO28" s="698">
        <f>SUM(AN28:AN34)*AW8</f>
        <v>0</v>
      </c>
      <c r="AQ28" s="120" t="s">
        <v>783</v>
      </c>
      <c r="AR28" s="124" t="s">
        <v>784</v>
      </c>
    </row>
    <row r="29" spans="2:44" ht="58" customHeight="1">
      <c r="B29" s="69"/>
      <c r="C29" s="876"/>
      <c r="D29" s="877"/>
      <c r="E29" s="877"/>
      <c r="F29" s="878"/>
      <c r="G29" s="70"/>
      <c r="H29" s="175"/>
      <c r="I29" s="73"/>
      <c r="J29" s="858"/>
      <c r="K29" s="859"/>
      <c r="L29" s="859"/>
      <c r="M29" s="859"/>
      <c r="N29" s="8"/>
      <c r="O29" s="771" t="s">
        <v>311</v>
      </c>
      <c r="P29" s="860"/>
      <c r="Q29" s="860"/>
      <c r="R29" s="860"/>
      <c r="S29" s="860"/>
      <c r="T29" s="860"/>
      <c r="U29" s="860"/>
      <c r="V29" s="860"/>
      <c r="W29" s="772"/>
      <c r="X29" s="184" t="b">
        <v>0</v>
      </c>
      <c r="Y29" s="8"/>
      <c r="Z29" s="720"/>
      <c r="AA29" s="720"/>
      <c r="AB29" s="720"/>
      <c r="AC29" s="720"/>
      <c r="AD29" s="74"/>
      <c r="AE29" s="175"/>
      <c r="AF29" s="69"/>
      <c r="AG29" s="840"/>
      <c r="AH29" s="841"/>
      <c r="AI29" s="841"/>
      <c r="AJ29" s="842"/>
      <c r="AK29" s="70"/>
      <c r="AM29" s="123">
        <f t="shared" si="1"/>
        <v>0</v>
      </c>
      <c r="AN29" s="122">
        <f>IF(AM29,2,0)</f>
        <v>0</v>
      </c>
      <c r="AO29" s="699"/>
      <c r="AR29" s="124" t="s">
        <v>785</v>
      </c>
    </row>
    <row r="30" spans="2:44" ht="58" customHeight="1">
      <c r="B30" s="69"/>
      <c r="C30" s="876"/>
      <c r="D30" s="877"/>
      <c r="E30" s="877"/>
      <c r="F30" s="878"/>
      <c r="G30" s="70"/>
      <c r="H30" s="175"/>
      <c r="I30" s="73"/>
      <c r="J30" s="858"/>
      <c r="K30" s="859"/>
      <c r="L30" s="859"/>
      <c r="M30" s="859"/>
      <c r="N30" s="8"/>
      <c r="O30" s="771" t="s">
        <v>312</v>
      </c>
      <c r="P30" s="860"/>
      <c r="Q30" s="860"/>
      <c r="R30" s="860"/>
      <c r="S30" s="860"/>
      <c r="T30" s="860"/>
      <c r="U30" s="860"/>
      <c r="V30" s="860"/>
      <c r="W30" s="772"/>
      <c r="X30" s="184" t="b">
        <v>0</v>
      </c>
      <c r="Y30" s="8"/>
      <c r="Z30" s="720"/>
      <c r="AA30" s="720"/>
      <c r="AB30" s="720"/>
      <c r="AC30" s="720"/>
      <c r="AD30" s="74"/>
      <c r="AE30" s="175"/>
      <c r="AF30" s="69"/>
      <c r="AG30" s="840"/>
      <c r="AH30" s="841"/>
      <c r="AI30" s="841"/>
      <c r="AJ30" s="842"/>
      <c r="AK30" s="70"/>
      <c r="AM30" s="123">
        <f t="shared" si="1"/>
        <v>0</v>
      </c>
      <c r="AN30" s="122">
        <f>IF(AM30,2,0)</f>
        <v>0</v>
      </c>
      <c r="AO30" s="699"/>
      <c r="AR30" s="124" t="s">
        <v>786</v>
      </c>
    </row>
    <row r="31" spans="2:44" ht="58" customHeight="1">
      <c r="B31" s="72"/>
      <c r="C31" s="876"/>
      <c r="D31" s="877"/>
      <c r="E31" s="877"/>
      <c r="F31" s="878"/>
      <c r="G31" s="71"/>
      <c r="H31" s="175"/>
      <c r="I31" s="73"/>
      <c r="J31" s="858"/>
      <c r="K31" s="859"/>
      <c r="L31" s="859"/>
      <c r="M31" s="859"/>
      <c r="N31" s="8"/>
      <c r="O31" s="788" t="s">
        <v>313</v>
      </c>
      <c r="P31" s="788"/>
      <c r="Q31" s="788"/>
      <c r="R31" s="788"/>
      <c r="S31" s="788"/>
      <c r="T31" s="788"/>
      <c r="U31" s="788"/>
      <c r="V31" s="788"/>
      <c r="W31" s="788"/>
      <c r="X31" s="184" t="b">
        <v>0</v>
      </c>
      <c r="Y31" s="8"/>
      <c r="Z31" s="720"/>
      <c r="AA31" s="720"/>
      <c r="AB31" s="720"/>
      <c r="AC31" s="720"/>
      <c r="AD31" s="74"/>
      <c r="AE31" s="175"/>
      <c r="AF31" s="72"/>
      <c r="AG31" s="840"/>
      <c r="AH31" s="841"/>
      <c r="AI31" s="841"/>
      <c r="AJ31" s="842"/>
      <c r="AK31" s="71"/>
      <c r="AM31" s="123">
        <f t="shared" si="1"/>
        <v>0</v>
      </c>
      <c r="AN31" s="122">
        <f>IF(AM31,2,0)</f>
        <v>0</v>
      </c>
      <c r="AO31" s="699"/>
      <c r="AR31" s="124" t="s">
        <v>787</v>
      </c>
    </row>
    <row r="32" spans="2:44" ht="58" customHeight="1">
      <c r="B32" s="72"/>
      <c r="C32" s="876"/>
      <c r="D32" s="877"/>
      <c r="E32" s="877"/>
      <c r="F32" s="878"/>
      <c r="G32" s="71"/>
      <c r="H32" s="175"/>
      <c r="I32" s="73"/>
      <c r="J32" s="858"/>
      <c r="K32" s="859"/>
      <c r="L32" s="859"/>
      <c r="M32" s="859"/>
      <c r="N32" s="8"/>
      <c r="O32" s="788" t="s">
        <v>585</v>
      </c>
      <c r="P32" s="788"/>
      <c r="Q32" s="788"/>
      <c r="R32" s="788"/>
      <c r="S32" s="788"/>
      <c r="T32" s="788"/>
      <c r="U32" s="788"/>
      <c r="V32" s="788"/>
      <c r="W32" s="788"/>
      <c r="X32" s="184" t="b">
        <v>0</v>
      </c>
      <c r="Y32" s="8"/>
      <c r="Z32" s="720"/>
      <c r="AA32" s="720"/>
      <c r="AB32" s="720"/>
      <c r="AC32" s="720"/>
      <c r="AD32" s="74"/>
      <c r="AE32" s="175"/>
      <c r="AF32" s="72"/>
      <c r="AG32" s="840"/>
      <c r="AH32" s="841"/>
      <c r="AI32" s="841"/>
      <c r="AJ32" s="842"/>
      <c r="AK32" s="71"/>
      <c r="AM32" s="123">
        <f t="shared" si="1"/>
        <v>0</v>
      </c>
      <c r="AN32" s="122">
        <f>IF(AM32,2,0)</f>
        <v>0</v>
      </c>
      <c r="AO32" s="699"/>
    </row>
    <row r="33" spans="2:44" ht="58" customHeight="1">
      <c r="B33" s="72"/>
      <c r="C33" s="876"/>
      <c r="D33" s="877"/>
      <c r="E33" s="877"/>
      <c r="F33" s="878"/>
      <c r="G33" s="71"/>
      <c r="H33" s="175"/>
      <c r="I33" s="73"/>
      <c r="J33" s="858"/>
      <c r="K33" s="859"/>
      <c r="L33" s="859"/>
      <c r="M33" s="859"/>
      <c r="N33" s="8"/>
      <c r="O33" s="771" t="s">
        <v>627</v>
      </c>
      <c r="P33" s="860"/>
      <c r="Q33" s="860"/>
      <c r="R33" s="860"/>
      <c r="S33" s="860"/>
      <c r="T33" s="860"/>
      <c r="U33" s="860"/>
      <c r="V33" s="860"/>
      <c r="W33" s="772"/>
      <c r="X33" s="184" t="b">
        <v>0</v>
      </c>
      <c r="Y33" s="8"/>
      <c r="Z33" s="720"/>
      <c r="AA33" s="720"/>
      <c r="AB33" s="720"/>
      <c r="AC33" s="720"/>
      <c r="AD33" s="74"/>
      <c r="AE33" s="175"/>
      <c r="AF33" s="72"/>
      <c r="AG33" s="840"/>
      <c r="AH33" s="841"/>
      <c r="AI33" s="841"/>
      <c r="AJ33" s="842"/>
      <c r="AK33" s="71"/>
      <c r="AM33" s="123">
        <f t="shared" si="1"/>
        <v>0</v>
      </c>
      <c r="AN33" s="122"/>
      <c r="AO33" s="699"/>
      <c r="AR33" s="124"/>
    </row>
    <row r="34" spans="2:44" ht="58" customHeight="1">
      <c r="B34" s="72"/>
      <c r="C34" s="879"/>
      <c r="D34" s="880"/>
      <c r="E34" s="880"/>
      <c r="F34" s="881"/>
      <c r="G34" s="71"/>
      <c r="H34" s="175"/>
      <c r="I34" s="73"/>
      <c r="J34" s="858"/>
      <c r="K34" s="859"/>
      <c r="L34" s="859"/>
      <c r="M34" s="859"/>
      <c r="N34" s="8"/>
      <c r="O34" s="788" t="s">
        <v>196</v>
      </c>
      <c r="P34" s="788"/>
      <c r="Q34" s="788"/>
      <c r="R34" s="788"/>
      <c r="S34" s="788"/>
      <c r="T34" s="788"/>
      <c r="U34" s="788"/>
      <c r="V34" s="788"/>
      <c r="W34" s="788"/>
      <c r="X34" s="184" t="b">
        <v>0</v>
      </c>
      <c r="Y34" s="8"/>
      <c r="Z34" s="720"/>
      <c r="AA34" s="720"/>
      <c r="AB34" s="720"/>
      <c r="AC34" s="720"/>
      <c r="AD34" s="74"/>
      <c r="AE34" s="175"/>
      <c r="AF34" s="72"/>
      <c r="AG34" s="840"/>
      <c r="AH34" s="841"/>
      <c r="AI34" s="841"/>
      <c r="AJ34" s="842"/>
      <c r="AK34" s="71"/>
      <c r="AM34" s="123"/>
      <c r="AN34" s="122"/>
      <c r="AO34" s="700"/>
    </row>
    <row r="35" spans="2:44" ht="19" thickBot="1">
      <c r="B35" s="72"/>
      <c r="C35" s="263"/>
      <c r="D35" s="263"/>
      <c r="E35" s="263"/>
      <c r="F35" s="263"/>
      <c r="G35" s="71"/>
      <c r="H35" s="175"/>
      <c r="I35" s="73"/>
      <c r="J35" s="57"/>
      <c r="K35" s="226"/>
      <c r="L35" s="226"/>
      <c r="M35" s="226"/>
      <c r="N35" s="8"/>
      <c r="O35" s="62"/>
      <c r="P35" s="18"/>
      <c r="Q35" s="62"/>
      <c r="R35" s="18"/>
      <c r="S35" s="62"/>
      <c r="T35" s="18"/>
      <c r="U35" s="62"/>
      <c r="V35" s="18"/>
      <c r="W35" s="62"/>
      <c r="X35" s="25"/>
      <c r="Y35" s="8"/>
      <c r="Z35" s="262"/>
      <c r="AA35" s="262"/>
      <c r="AB35" s="262"/>
      <c r="AC35" s="262"/>
      <c r="AD35" s="74"/>
      <c r="AE35" s="175"/>
      <c r="AF35" s="72"/>
      <c r="AG35" s="843"/>
      <c r="AH35" s="844"/>
      <c r="AI35" s="844"/>
      <c r="AJ35" s="845"/>
      <c r="AK35" s="71"/>
      <c r="AM35" s="129">
        <f>SUM(AM28:AM34)</f>
        <v>0</v>
      </c>
      <c r="AN35" s="129">
        <f>SUM(AN28:AN34)</f>
        <v>0</v>
      </c>
      <c r="AO35" s="129"/>
    </row>
    <row r="36" spans="2:44" ht="19" thickTop="1">
      <c r="B36" s="72"/>
      <c r="C36" s="882"/>
      <c r="D36" s="883"/>
      <c r="E36" s="883"/>
      <c r="F36" s="884"/>
      <c r="G36" s="71"/>
      <c r="H36" s="175"/>
      <c r="I36" s="73"/>
      <c r="J36" s="28" t="s">
        <v>39</v>
      </c>
      <c r="K36" s="225" t="s">
        <v>861</v>
      </c>
      <c r="L36" s="226"/>
      <c r="M36" s="226"/>
      <c r="N36" s="8"/>
      <c r="O36" s="62"/>
      <c r="P36" s="18"/>
      <c r="Q36" s="62"/>
      <c r="R36" s="18"/>
      <c r="S36" s="62"/>
      <c r="T36" s="18"/>
      <c r="U36" s="62"/>
      <c r="V36" s="18"/>
      <c r="W36" s="62"/>
      <c r="X36" s="25"/>
      <c r="Y36" s="8"/>
      <c r="Z36" s="262"/>
      <c r="AA36" s="262"/>
      <c r="AB36" s="262"/>
      <c r="AC36" s="262"/>
      <c r="AD36" s="74"/>
      <c r="AE36" s="175"/>
      <c r="AF36" s="72"/>
      <c r="AG36" s="242"/>
      <c r="AH36" s="242"/>
      <c r="AI36" s="242"/>
      <c r="AJ36" s="242"/>
      <c r="AK36" s="71"/>
      <c r="AL36" s="202"/>
      <c r="AM36" s="102"/>
      <c r="AN36" s="203"/>
      <c r="AO36" s="117"/>
    </row>
    <row r="37" spans="2:44">
      <c r="B37" s="73"/>
      <c r="C37" s="885"/>
      <c r="D37" s="886"/>
      <c r="E37" s="886"/>
      <c r="F37" s="887"/>
      <c r="G37" s="74"/>
      <c r="H37" s="175"/>
      <c r="I37" s="73"/>
      <c r="J37" s="65"/>
      <c r="K37" s="232"/>
      <c r="L37" s="232"/>
      <c r="M37" s="232"/>
      <c r="N37" s="8"/>
      <c r="O37" s="62"/>
      <c r="P37" s="18"/>
      <c r="Q37" s="62"/>
      <c r="R37" s="18"/>
      <c r="S37" s="62"/>
      <c r="T37" s="18"/>
      <c r="U37" s="62"/>
      <c r="V37" s="18"/>
      <c r="W37" s="62"/>
      <c r="X37" s="25"/>
      <c r="Y37" s="8"/>
      <c r="Z37" s="8"/>
      <c r="AA37" s="8"/>
      <c r="AB37" s="8"/>
      <c r="AC37" s="8"/>
      <c r="AD37" s="74"/>
      <c r="AE37" s="175"/>
      <c r="AF37" s="73"/>
      <c r="AG37" s="837" t="str">
        <f>IF(OR(X44,X45),Feedback_List!B53, " ")</f>
        <v xml:space="preserve"> </v>
      </c>
      <c r="AH37" s="838"/>
      <c r="AI37" s="838"/>
      <c r="AJ37" s="839"/>
      <c r="AK37" s="74"/>
      <c r="AL37" s="202"/>
      <c r="AM37" s="102"/>
      <c r="AN37" s="204"/>
      <c r="AO37" s="117"/>
    </row>
    <row r="38" spans="2:44" ht="27.5" customHeight="1">
      <c r="B38" s="69"/>
      <c r="C38" s="885"/>
      <c r="D38" s="886"/>
      <c r="E38" s="886"/>
      <c r="F38" s="887"/>
      <c r="G38" s="70"/>
      <c r="H38" s="175"/>
      <c r="I38" s="73"/>
      <c r="J38" s="690">
        <v>3.1</v>
      </c>
      <c r="K38" s="680" t="s">
        <v>477</v>
      </c>
      <c r="L38" s="681"/>
      <c r="M38" s="682"/>
      <c r="N38" s="8"/>
      <c r="O38" s="771" t="s">
        <v>479</v>
      </c>
      <c r="P38" s="860"/>
      <c r="Q38" s="860"/>
      <c r="R38" s="860"/>
      <c r="S38" s="860"/>
      <c r="T38" s="860"/>
      <c r="U38" s="860"/>
      <c r="V38" s="860"/>
      <c r="W38" s="772"/>
      <c r="X38" s="184" t="b">
        <v>0</v>
      </c>
      <c r="Y38" s="8"/>
      <c r="Z38" s="829" t="s">
        <v>80</v>
      </c>
      <c r="AA38" s="830"/>
      <c r="AB38" s="830"/>
      <c r="AC38" s="831"/>
      <c r="AD38" s="74"/>
      <c r="AE38" s="175"/>
      <c r="AF38" s="69"/>
      <c r="AG38" s="840"/>
      <c r="AH38" s="841"/>
      <c r="AI38" s="841"/>
      <c r="AJ38" s="842"/>
      <c r="AK38" s="70"/>
      <c r="AM38" s="185">
        <f t="shared" ref="AM38:AM45" si="2">IF(X38, 1, 0)</f>
        <v>0</v>
      </c>
      <c r="AN38" s="186">
        <f t="shared" ref="AN38:AN43" si="3">IF(AM38,2,0)</f>
        <v>0</v>
      </c>
      <c r="AO38" s="698">
        <f>SUM(AN38:AN43)*AW9</f>
        <v>0</v>
      </c>
    </row>
    <row r="39" spans="2:44" ht="27.5" customHeight="1">
      <c r="B39" s="69"/>
      <c r="C39" s="885"/>
      <c r="D39" s="886"/>
      <c r="E39" s="886"/>
      <c r="F39" s="887"/>
      <c r="G39" s="70"/>
      <c r="H39" s="175"/>
      <c r="I39" s="73"/>
      <c r="J39" s="624"/>
      <c r="K39" s="617"/>
      <c r="L39" s="618"/>
      <c r="M39" s="619"/>
      <c r="N39" s="8"/>
      <c r="O39" s="771" t="s">
        <v>578</v>
      </c>
      <c r="P39" s="860"/>
      <c r="Q39" s="860"/>
      <c r="R39" s="860"/>
      <c r="S39" s="860"/>
      <c r="T39" s="860"/>
      <c r="U39" s="860"/>
      <c r="V39" s="860"/>
      <c r="W39" s="772"/>
      <c r="X39" s="184" t="b">
        <v>0</v>
      </c>
      <c r="Y39" s="8"/>
      <c r="Z39" s="832"/>
      <c r="AA39" s="833"/>
      <c r="AB39" s="833"/>
      <c r="AC39" s="834"/>
      <c r="AD39" s="74"/>
      <c r="AE39" s="175"/>
      <c r="AF39" s="69"/>
      <c r="AG39" s="840"/>
      <c r="AH39" s="841"/>
      <c r="AI39" s="841"/>
      <c r="AJ39" s="842"/>
      <c r="AK39" s="70"/>
      <c r="AM39" s="123">
        <f t="shared" si="2"/>
        <v>0</v>
      </c>
      <c r="AN39" s="122">
        <f t="shared" si="3"/>
        <v>0</v>
      </c>
      <c r="AO39" s="699"/>
    </row>
    <row r="40" spans="2:44" ht="27.5" customHeight="1">
      <c r="B40" s="69"/>
      <c r="C40" s="885"/>
      <c r="D40" s="886"/>
      <c r="E40" s="886"/>
      <c r="F40" s="887"/>
      <c r="G40" s="70"/>
      <c r="H40" s="175"/>
      <c r="I40" s="73"/>
      <c r="J40" s="624"/>
      <c r="K40" s="617"/>
      <c r="L40" s="618"/>
      <c r="M40" s="619"/>
      <c r="N40" s="8"/>
      <c r="O40" s="771" t="s">
        <v>480</v>
      </c>
      <c r="P40" s="860"/>
      <c r="Q40" s="860"/>
      <c r="R40" s="860"/>
      <c r="S40" s="860"/>
      <c r="T40" s="860"/>
      <c r="U40" s="860"/>
      <c r="V40" s="860"/>
      <c r="W40" s="772"/>
      <c r="X40" s="184" t="b">
        <v>0</v>
      </c>
      <c r="Y40" s="8"/>
      <c r="Z40" s="832"/>
      <c r="AA40" s="833"/>
      <c r="AB40" s="833"/>
      <c r="AC40" s="834"/>
      <c r="AD40" s="74"/>
      <c r="AE40" s="175"/>
      <c r="AF40" s="69"/>
      <c r="AG40" s="840"/>
      <c r="AH40" s="841"/>
      <c r="AI40" s="841"/>
      <c r="AJ40" s="842"/>
      <c r="AK40" s="70"/>
      <c r="AM40" s="123">
        <f t="shared" si="2"/>
        <v>0</v>
      </c>
      <c r="AN40" s="122">
        <f t="shared" si="3"/>
        <v>0</v>
      </c>
      <c r="AO40" s="699"/>
    </row>
    <row r="41" spans="2:44" ht="27.5" customHeight="1">
      <c r="B41" s="72"/>
      <c r="C41" s="885"/>
      <c r="D41" s="886"/>
      <c r="E41" s="886"/>
      <c r="F41" s="887"/>
      <c r="G41" s="71"/>
      <c r="H41" s="175"/>
      <c r="I41" s="73"/>
      <c r="J41" s="624"/>
      <c r="K41" s="617"/>
      <c r="L41" s="618"/>
      <c r="M41" s="619"/>
      <c r="N41" s="8"/>
      <c r="O41" s="771" t="s">
        <v>481</v>
      </c>
      <c r="P41" s="860"/>
      <c r="Q41" s="860"/>
      <c r="R41" s="860"/>
      <c r="S41" s="860"/>
      <c r="T41" s="860"/>
      <c r="U41" s="860"/>
      <c r="V41" s="860"/>
      <c r="W41" s="772"/>
      <c r="X41" s="184" t="b">
        <v>0</v>
      </c>
      <c r="Y41" s="8"/>
      <c r="Z41" s="832"/>
      <c r="AA41" s="833"/>
      <c r="AB41" s="833"/>
      <c r="AC41" s="834"/>
      <c r="AD41" s="74"/>
      <c r="AE41" s="175"/>
      <c r="AF41" s="72"/>
      <c r="AG41" s="840"/>
      <c r="AH41" s="841"/>
      <c r="AI41" s="841"/>
      <c r="AJ41" s="842"/>
      <c r="AK41" s="71"/>
      <c r="AM41" s="123">
        <f t="shared" si="2"/>
        <v>0</v>
      </c>
      <c r="AN41" s="122">
        <f t="shared" si="3"/>
        <v>0</v>
      </c>
      <c r="AO41" s="699"/>
    </row>
    <row r="42" spans="2:44" ht="27.5" customHeight="1">
      <c r="B42" s="72"/>
      <c r="C42" s="885"/>
      <c r="D42" s="886"/>
      <c r="E42" s="886"/>
      <c r="F42" s="887"/>
      <c r="G42" s="71"/>
      <c r="H42" s="175"/>
      <c r="I42" s="73"/>
      <c r="J42" s="624"/>
      <c r="K42" s="617"/>
      <c r="L42" s="618"/>
      <c r="M42" s="619"/>
      <c r="N42" s="8"/>
      <c r="O42" s="771" t="s">
        <v>482</v>
      </c>
      <c r="P42" s="860"/>
      <c r="Q42" s="860"/>
      <c r="R42" s="860"/>
      <c r="S42" s="860"/>
      <c r="T42" s="860"/>
      <c r="U42" s="860"/>
      <c r="V42" s="860"/>
      <c r="W42" s="772"/>
      <c r="X42" s="184" t="b">
        <v>0</v>
      </c>
      <c r="Y42" s="8"/>
      <c r="Z42" s="832"/>
      <c r="AA42" s="833"/>
      <c r="AB42" s="833"/>
      <c r="AC42" s="834"/>
      <c r="AD42" s="74"/>
      <c r="AE42" s="175"/>
      <c r="AF42" s="72"/>
      <c r="AG42" s="840"/>
      <c r="AH42" s="841"/>
      <c r="AI42" s="841"/>
      <c r="AJ42" s="842"/>
      <c r="AK42" s="71"/>
      <c r="AM42" s="123">
        <f t="shared" si="2"/>
        <v>0</v>
      </c>
      <c r="AN42" s="122">
        <f t="shared" si="3"/>
        <v>0</v>
      </c>
      <c r="AO42" s="699"/>
    </row>
    <row r="43" spans="2:44" ht="27.5" customHeight="1">
      <c r="B43" s="72"/>
      <c r="C43" s="885"/>
      <c r="D43" s="886"/>
      <c r="E43" s="886"/>
      <c r="F43" s="887"/>
      <c r="G43" s="71"/>
      <c r="H43" s="175"/>
      <c r="I43" s="73"/>
      <c r="J43" s="624"/>
      <c r="K43" s="617"/>
      <c r="L43" s="618"/>
      <c r="M43" s="619"/>
      <c r="N43" s="8"/>
      <c r="O43" s="771" t="s">
        <v>478</v>
      </c>
      <c r="P43" s="860"/>
      <c r="Q43" s="860"/>
      <c r="R43" s="860"/>
      <c r="S43" s="860"/>
      <c r="T43" s="860"/>
      <c r="U43" s="860"/>
      <c r="V43" s="860"/>
      <c r="W43" s="772"/>
      <c r="X43" s="184" t="b">
        <v>0</v>
      </c>
      <c r="Y43" s="8"/>
      <c r="Z43" s="832"/>
      <c r="AA43" s="833"/>
      <c r="AB43" s="833"/>
      <c r="AC43" s="834"/>
      <c r="AD43" s="74"/>
      <c r="AE43" s="175"/>
      <c r="AF43" s="72"/>
      <c r="AG43" s="840"/>
      <c r="AH43" s="841"/>
      <c r="AI43" s="841"/>
      <c r="AJ43" s="842"/>
      <c r="AK43" s="71"/>
      <c r="AM43" s="123">
        <f t="shared" si="2"/>
        <v>0</v>
      </c>
      <c r="AN43" s="122">
        <f t="shared" si="3"/>
        <v>0</v>
      </c>
      <c r="AO43" s="699"/>
    </row>
    <row r="44" spans="2:44" ht="27.5" customHeight="1">
      <c r="B44" s="72"/>
      <c r="C44" s="885"/>
      <c r="D44" s="886"/>
      <c r="E44" s="886"/>
      <c r="F44" s="887"/>
      <c r="G44" s="71"/>
      <c r="H44" s="175"/>
      <c r="I44" s="73"/>
      <c r="J44" s="624"/>
      <c r="K44" s="617"/>
      <c r="L44" s="618"/>
      <c r="M44" s="619"/>
      <c r="N44" s="8"/>
      <c r="O44" s="771" t="s">
        <v>962</v>
      </c>
      <c r="P44" s="860"/>
      <c r="Q44" s="860"/>
      <c r="R44" s="860"/>
      <c r="S44" s="860"/>
      <c r="T44" s="860"/>
      <c r="U44" s="860"/>
      <c r="V44" s="860"/>
      <c r="W44" s="772"/>
      <c r="X44" s="184" t="b">
        <v>0</v>
      </c>
      <c r="Y44" s="8"/>
      <c r="Z44" s="832"/>
      <c r="AA44" s="833"/>
      <c r="AB44" s="833"/>
      <c r="AC44" s="834"/>
      <c r="AD44" s="74"/>
      <c r="AE44" s="175"/>
      <c r="AF44" s="72"/>
      <c r="AG44" s="840"/>
      <c r="AH44" s="841"/>
      <c r="AI44" s="841"/>
      <c r="AJ44" s="842"/>
      <c r="AK44" s="71"/>
      <c r="AM44" s="123">
        <f t="shared" si="2"/>
        <v>0</v>
      </c>
      <c r="AN44" s="122"/>
      <c r="AO44" s="699"/>
    </row>
    <row r="45" spans="2:44" ht="27.5" customHeight="1">
      <c r="B45" s="72"/>
      <c r="C45" s="885"/>
      <c r="D45" s="886"/>
      <c r="E45" s="886"/>
      <c r="F45" s="887"/>
      <c r="G45" s="71"/>
      <c r="H45" s="175"/>
      <c r="I45" s="73"/>
      <c r="J45" s="625"/>
      <c r="K45" s="620"/>
      <c r="L45" s="621"/>
      <c r="M45" s="622"/>
      <c r="N45" s="8"/>
      <c r="O45" s="771" t="s">
        <v>628</v>
      </c>
      <c r="P45" s="860"/>
      <c r="Q45" s="860"/>
      <c r="R45" s="860"/>
      <c r="S45" s="860"/>
      <c r="T45" s="860"/>
      <c r="U45" s="860"/>
      <c r="V45" s="860"/>
      <c r="W45" s="772"/>
      <c r="X45" s="184" t="b">
        <v>0</v>
      </c>
      <c r="Y45" s="8"/>
      <c r="Z45" s="835"/>
      <c r="AA45" s="701"/>
      <c r="AB45" s="701"/>
      <c r="AC45" s="836"/>
      <c r="AD45" s="74"/>
      <c r="AE45" s="175"/>
      <c r="AF45" s="72"/>
      <c r="AG45" s="840"/>
      <c r="AH45" s="841"/>
      <c r="AI45" s="841"/>
      <c r="AJ45" s="842"/>
      <c r="AK45" s="71"/>
      <c r="AM45" s="110">
        <f t="shared" si="2"/>
        <v>0</v>
      </c>
      <c r="AN45" s="111"/>
      <c r="AO45" s="700"/>
    </row>
    <row r="46" spans="2:44" ht="19" thickBot="1">
      <c r="B46" s="72"/>
      <c r="C46" s="888"/>
      <c r="D46" s="889"/>
      <c r="E46" s="889"/>
      <c r="F46" s="890"/>
      <c r="G46" s="71"/>
      <c r="H46" s="175"/>
      <c r="I46" s="73"/>
      <c r="J46" s="57"/>
      <c r="K46" s="226"/>
      <c r="L46" s="226"/>
      <c r="M46" s="226"/>
      <c r="N46" s="8"/>
      <c r="O46" s="62"/>
      <c r="P46" s="18"/>
      <c r="Q46" s="62"/>
      <c r="R46" s="18"/>
      <c r="S46" s="62"/>
      <c r="T46" s="18"/>
      <c r="U46" s="62"/>
      <c r="V46" s="18"/>
      <c r="W46" s="62"/>
      <c r="X46" s="25"/>
      <c r="Y46" s="8"/>
      <c r="Z46" s="262"/>
      <c r="AA46" s="262"/>
      <c r="AB46" s="262"/>
      <c r="AC46" s="262"/>
      <c r="AD46" s="74"/>
      <c r="AE46" s="175"/>
      <c r="AF46" s="72"/>
      <c r="AG46" s="840"/>
      <c r="AH46" s="841"/>
      <c r="AI46" s="841"/>
      <c r="AJ46" s="842"/>
      <c r="AK46" s="71"/>
      <c r="AM46" s="129">
        <f>SUM(AM38:AM45)</f>
        <v>0</v>
      </c>
      <c r="AN46" s="129">
        <f>SUM(AN38:AN43)</f>
        <v>0</v>
      </c>
      <c r="AO46" s="129"/>
    </row>
    <row r="47" spans="2:44" ht="19" thickTop="1">
      <c r="B47" s="73"/>
      <c r="C47" s="8"/>
      <c r="D47" s="8"/>
      <c r="E47" s="8"/>
      <c r="F47" s="8"/>
      <c r="G47" s="74"/>
      <c r="H47" s="175"/>
      <c r="I47" s="73"/>
      <c r="J47" s="28" t="s">
        <v>40</v>
      </c>
      <c r="K47" s="28" t="s">
        <v>862</v>
      </c>
      <c r="L47" s="232"/>
      <c r="M47" s="232"/>
      <c r="N47" s="8"/>
      <c r="O47" s="62"/>
      <c r="P47" s="18"/>
      <c r="Q47" s="62"/>
      <c r="R47" s="18"/>
      <c r="S47" s="62"/>
      <c r="T47" s="18"/>
      <c r="U47" s="62"/>
      <c r="V47" s="18"/>
      <c r="W47" s="62"/>
      <c r="X47" s="25"/>
      <c r="Y47" s="8"/>
      <c r="Z47" s="8"/>
      <c r="AA47" s="8"/>
      <c r="AB47" s="8"/>
      <c r="AC47" s="8"/>
      <c r="AD47" s="74"/>
      <c r="AE47" s="175"/>
      <c r="AF47" s="73"/>
      <c r="AG47" s="843"/>
      <c r="AH47" s="844"/>
      <c r="AI47" s="844"/>
      <c r="AJ47" s="845"/>
      <c r="AK47" s="74"/>
      <c r="AL47" s="202"/>
      <c r="AM47" s="102"/>
      <c r="AN47" s="102"/>
      <c r="AO47" s="117"/>
    </row>
    <row r="48" spans="2:44">
      <c r="B48" s="73"/>
      <c r="C48" s="873"/>
      <c r="D48" s="874"/>
      <c r="E48" s="874"/>
      <c r="F48" s="875"/>
      <c r="G48" s="74"/>
      <c r="H48" s="175"/>
      <c r="I48" s="73"/>
      <c r="J48" s="28"/>
      <c r="K48" s="225"/>
      <c r="L48" s="232"/>
      <c r="M48" s="232"/>
      <c r="N48" s="8"/>
      <c r="O48" s="62"/>
      <c r="P48" s="18"/>
      <c r="Q48" s="62"/>
      <c r="R48" s="18"/>
      <c r="S48" s="62"/>
      <c r="T48" s="18"/>
      <c r="U48" s="62"/>
      <c r="V48" s="18"/>
      <c r="W48" s="62"/>
      <c r="X48" s="25"/>
      <c r="Y48" s="8"/>
      <c r="Z48" s="8"/>
      <c r="AA48" s="8"/>
      <c r="AB48" s="8"/>
      <c r="AC48" s="8"/>
      <c r="AD48" s="74"/>
      <c r="AE48" s="175"/>
      <c r="AF48" s="73"/>
      <c r="AG48" s="8"/>
      <c r="AH48" s="8"/>
      <c r="AI48" s="8"/>
      <c r="AJ48" s="8"/>
      <c r="AK48" s="74"/>
      <c r="AL48" s="202"/>
      <c r="AM48" s="102"/>
      <c r="AN48" s="102"/>
      <c r="AO48" s="117"/>
    </row>
    <row r="49" spans="2:44" ht="34.5" customHeight="1">
      <c r="B49" s="73"/>
      <c r="C49" s="876"/>
      <c r="D49" s="877"/>
      <c r="E49" s="877"/>
      <c r="F49" s="878"/>
      <c r="G49" s="74"/>
      <c r="H49" s="175"/>
      <c r="I49" s="73"/>
      <c r="J49" s="858">
        <v>4.0999999999999996</v>
      </c>
      <c r="K49" s="859" t="s">
        <v>300</v>
      </c>
      <c r="L49" s="859"/>
      <c r="M49" s="859"/>
      <c r="N49" s="249"/>
      <c r="O49" s="788" t="s">
        <v>579</v>
      </c>
      <c r="P49" s="788"/>
      <c r="Q49" s="788"/>
      <c r="R49" s="788"/>
      <c r="S49" s="788"/>
      <c r="T49" s="788"/>
      <c r="U49" s="788"/>
      <c r="V49" s="788"/>
      <c r="W49" s="788"/>
      <c r="X49" s="184" t="b">
        <v>0</v>
      </c>
      <c r="Y49" s="242"/>
      <c r="Z49" s="720" t="s">
        <v>80</v>
      </c>
      <c r="AA49" s="720"/>
      <c r="AB49" s="720"/>
      <c r="AC49" s="720"/>
      <c r="AD49" s="71"/>
      <c r="AE49" s="174"/>
      <c r="AF49" s="69"/>
      <c r="AG49" s="837" t="str">
        <f>IF(OR(AM54,AM55),Feedback_List!B55, " ")</f>
        <v xml:space="preserve"> </v>
      </c>
      <c r="AH49" s="838"/>
      <c r="AI49" s="838"/>
      <c r="AJ49" s="839"/>
      <c r="AK49" s="70"/>
      <c r="AM49" s="185">
        <f t="shared" ref="AM49:AM56" si="4">IF(X49, 1, 0)</f>
        <v>0</v>
      </c>
      <c r="AN49" s="186">
        <f>IF(AM49,1,0)</f>
        <v>0</v>
      </c>
      <c r="AO49" s="846" cm="1">
        <f t="array" ref="AO49">SUM(AN49:AN69*AW10)</f>
        <v>0</v>
      </c>
    </row>
    <row r="50" spans="2:44" ht="34.5" customHeight="1">
      <c r="B50" s="73"/>
      <c r="C50" s="876"/>
      <c r="D50" s="877"/>
      <c r="E50" s="877"/>
      <c r="F50" s="878"/>
      <c r="G50" s="74"/>
      <c r="H50" s="175"/>
      <c r="I50" s="73"/>
      <c r="J50" s="858"/>
      <c r="K50" s="859"/>
      <c r="L50" s="859"/>
      <c r="M50" s="859"/>
      <c r="N50" s="249"/>
      <c r="O50" s="771" t="s">
        <v>580</v>
      </c>
      <c r="P50" s="860"/>
      <c r="Q50" s="860"/>
      <c r="R50" s="860"/>
      <c r="S50" s="860"/>
      <c r="T50" s="860"/>
      <c r="U50" s="860"/>
      <c r="V50" s="860"/>
      <c r="W50" s="772"/>
      <c r="X50" s="184" t="b">
        <v>0</v>
      </c>
      <c r="Y50" s="242"/>
      <c r="Z50" s="720"/>
      <c r="AA50" s="720"/>
      <c r="AB50" s="720"/>
      <c r="AC50" s="720"/>
      <c r="AD50" s="71"/>
      <c r="AE50" s="174"/>
      <c r="AF50" s="69"/>
      <c r="AG50" s="840"/>
      <c r="AH50" s="841"/>
      <c r="AI50" s="841"/>
      <c r="AJ50" s="842"/>
      <c r="AK50" s="70"/>
      <c r="AM50" s="123">
        <f t="shared" si="4"/>
        <v>0</v>
      </c>
      <c r="AN50" s="122">
        <f>IF(AM50,1,0)</f>
        <v>0</v>
      </c>
      <c r="AO50" s="847"/>
    </row>
    <row r="51" spans="2:44" ht="34.5" customHeight="1">
      <c r="B51" s="73"/>
      <c r="C51" s="876"/>
      <c r="D51" s="877"/>
      <c r="E51" s="877"/>
      <c r="F51" s="878"/>
      <c r="G51" s="74"/>
      <c r="H51" s="175"/>
      <c r="I51" s="73"/>
      <c r="J51" s="858"/>
      <c r="K51" s="859"/>
      <c r="L51" s="859"/>
      <c r="M51" s="859"/>
      <c r="N51" s="249"/>
      <c r="O51" s="788" t="s">
        <v>301</v>
      </c>
      <c r="P51" s="788"/>
      <c r="Q51" s="788"/>
      <c r="R51" s="788"/>
      <c r="S51" s="788"/>
      <c r="T51" s="788"/>
      <c r="U51" s="788"/>
      <c r="V51" s="788"/>
      <c r="W51" s="788"/>
      <c r="X51" s="184" t="b">
        <v>0</v>
      </c>
      <c r="Y51" s="242"/>
      <c r="Z51" s="720"/>
      <c r="AA51" s="720"/>
      <c r="AB51" s="720"/>
      <c r="AC51" s="720"/>
      <c r="AD51" s="71"/>
      <c r="AE51" s="174"/>
      <c r="AF51" s="69"/>
      <c r="AG51" s="840"/>
      <c r="AH51" s="841"/>
      <c r="AI51" s="841"/>
      <c r="AJ51" s="842"/>
      <c r="AK51" s="70"/>
      <c r="AM51" s="123">
        <f t="shared" si="4"/>
        <v>0</v>
      </c>
      <c r="AN51" s="122">
        <f>IF(AM51,1,0)</f>
        <v>0</v>
      </c>
      <c r="AO51" s="847"/>
    </row>
    <row r="52" spans="2:44" ht="34.5" customHeight="1">
      <c r="B52" s="73"/>
      <c r="C52" s="876"/>
      <c r="D52" s="877"/>
      <c r="E52" s="877"/>
      <c r="F52" s="878"/>
      <c r="G52" s="74"/>
      <c r="H52" s="175"/>
      <c r="I52" s="73"/>
      <c r="J52" s="858"/>
      <c r="K52" s="859"/>
      <c r="L52" s="859"/>
      <c r="M52" s="859"/>
      <c r="N52" s="249"/>
      <c r="O52" s="788" t="s">
        <v>302</v>
      </c>
      <c r="P52" s="788"/>
      <c r="Q52" s="788"/>
      <c r="R52" s="788"/>
      <c r="S52" s="788"/>
      <c r="T52" s="788"/>
      <c r="U52" s="788"/>
      <c r="V52" s="788"/>
      <c r="W52" s="788"/>
      <c r="X52" s="184" t="b">
        <v>0</v>
      </c>
      <c r="Y52" s="242"/>
      <c r="Z52" s="720"/>
      <c r="AA52" s="720"/>
      <c r="AB52" s="720"/>
      <c r="AC52" s="720"/>
      <c r="AD52" s="71"/>
      <c r="AE52" s="174"/>
      <c r="AF52" s="72"/>
      <c r="AG52" s="840"/>
      <c r="AH52" s="841"/>
      <c r="AI52" s="841"/>
      <c r="AJ52" s="842"/>
      <c r="AK52" s="71"/>
      <c r="AM52" s="123">
        <f t="shared" si="4"/>
        <v>0</v>
      </c>
      <c r="AN52" s="122">
        <f>IF(AM52,1,0)</f>
        <v>0</v>
      </c>
      <c r="AO52" s="847"/>
    </row>
    <row r="53" spans="2:44" ht="34.5" customHeight="1">
      <c r="B53" s="73"/>
      <c r="C53" s="876"/>
      <c r="D53" s="877"/>
      <c r="E53" s="877"/>
      <c r="F53" s="878"/>
      <c r="G53" s="74"/>
      <c r="H53" s="175"/>
      <c r="I53" s="73"/>
      <c r="J53" s="858"/>
      <c r="K53" s="859"/>
      <c r="L53" s="859"/>
      <c r="M53" s="859"/>
      <c r="N53" s="249"/>
      <c r="O53" s="788" t="s">
        <v>303</v>
      </c>
      <c r="P53" s="788"/>
      <c r="Q53" s="788"/>
      <c r="R53" s="788"/>
      <c r="S53" s="788"/>
      <c r="T53" s="788"/>
      <c r="U53" s="788"/>
      <c r="V53" s="788"/>
      <c r="W53" s="788"/>
      <c r="X53" s="184" t="b">
        <v>0</v>
      </c>
      <c r="Y53" s="242"/>
      <c r="Z53" s="720"/>
      <c r="AA53" s="720"/>
      <c r="AB53" s="720"/>
      <c r="AC53" s="720"/>
      <c r="AD53" s="71"/>
      <c r="AE53" s="174"/>
      <c r="AF53" s="72"/>
      <c r="AG53" s="840"/>
      <c r="AH53" s="841"/>
      <c r="AI53" s="841"/>
      <c r="AJ53" s="842"/>
      <c r="AK53" s="71"/>
      <c r="AM53" s="123">
        <f t="shared" si="4"/>
        <v>0</v>
      </c>
      <c r="AN53" s="122">
        <f>IF(AM53,1,0)</f>
        <v>0</v>
      </c>
      <c r="AO53" s="847"/>
    </row>
    <row r="54" spans="2:44" ht="34.5" customHeight="1">
      <c r="B54" s="73"/>
      <c r="C54" s="876"/>
      <c r="D54" s="877"/>
      <c r="E54" s="877"/>
      <c r="F54" s="878"/>
      <c r="G54" s="74"/>
      <c r="H54" s="175"/>
      <c r="I54" s="73"/>
      <c r="J54" s="858"/>
      <c r="K54" s="859"/>
      <c r="L54" s="859"/>
      <c r="M54" s="859"/>
      <c r="N54" s="249"/>
      <c r="O54" s="771" t="s">
        <v>956</v>
      </c>
      <c r="P54" s="860"/>
      <c r="Q54" s="860"/>
      <c r="R54" s="860"/>
      <c r="S54" s="860"/>
      <c r="T54" s="860"/>
      <c r="U54" s="860"/>
      <c r="V54" s="860"/>
      <c r="W54" s="772"/>
      <c r="X54" s="184" t="b">
        <v>0</v>
      </c>
      <c r="Y54" s="242"/>
      <c r="Z54" s="720"/>
      <c r="AA54" s="720"/>
      <c r="AB54" s="720"/>
      <c r="AC54" s="720"/>
      <c r="AD54" s="71"/>
      <c r="AE54" s="174"/>
      <c r="AF54" s="72"/>
      <c r="AG54" s="840"/>
      <c r="AH54" s="841"/>
      <c r="AI54" s="841"/>
      <c r="AJ54" s="842"/>
      <c r="AK54" s="71"/>
      <c r="AM54" s="123">
        <f t="shared" si="4"/>
        <v>0</v>
      </c>
      <c r="AN54" s="122"/>
      <c r="AO54" s="847"/>
    </row>
    <row r="55" spans="2:44" ht="34.5" customHeight="1">
      <c r="B55" s="73"/>
      <c r="C55" s="876"/>
      <c r="D55" s="877"/>
      <c r="E55" s="877"/>
      <c r="F55" s="878"/>
      <c r="G55" s="74"/>
      <c r="H55" s="175"/>
      <c r="I55" s="73"/>
      <c r="J55" s="858"/>
      <c r="K55" s="859"/>
      <c r="L55" s="859"/>
      <c r="M55" s="859"/>
      <c r="N55" s="249"/>
      <c r="O55" s="771" t="s">
        <v>624</v>
      </c>
      <c r="P55" s="860"/>
      <c r="Q55" s="860"/>
      <c r="R55" s="860"/>
      <c r="S55" s="860"/>
      <c r="T55" s="860"/>
      <c r="U55" s="860"/>
      <c r="V55" s="860"/>
      <c r="W55" s="772"/>
      <c r="X55" s="184" t="b">
        <v>0</v>
      </c>
      <c r="Y55" s="242"/>
      <c r="Z55" s="720"/>
      <c r="AA55" s="720"/>
      <c r="AB55" s="720"/>
      <c r="AC55" s="720"/>
      <c r="AD55" s="71"/>
      <c r="AE55" s="174"/>
      <c r="AF55" s="72"/>
      <c r="AG55" s="840"/>
      <c r="AH55" s="841"/>
      <c r="AI55" s="841"/>
      <c r="AJ55" s="842"/>
      <c r="AK55" s="71"/>
      <c r="AM55" s="123">
        <f t="shared" si="4"/>
        <v>0</v>
      </c>
      <c r="AN55" s="122"/>
      <c r="AO55" s="847"/>
    </row>
    <row r="56" spans="2:44" ht="37" customHeight="1">
      <c r="B56" s="73"/>
      <c r="C56" s="876"/>
      <c r="D56" s="877"/>
      <c r="E56" s="877"/>
      <c r="F56" s="878"/>
      <c r="G56" s="74"/>
      <c r="H56" s="175"/>
      <c r="I56" s="73"/>
      <c r="J56" s="858"/>
      <c r="K56" s="859"/>
      <c r="L56" s="859"/>
      <c r="M56" s="859"/>
      <c r="N56" s="249"/>
      <c r="O56" s="788" t="s">
        <v>196</v>
      </c>
      <c r="P56" s="788"/>
      <c r="Q56" s="788"/>
      <c r="R56" s="788"/>
      <c r="S56" s="788"/>
      <c r="T56" s="788"/>
      <c r="U56" s="788"/>
      <c r="V56" s="788"/>
      <c r="W56" s="788"/>
      <c r="X56" s="184" t="b">
        <v>0</v>
      </c>
      <c r="Y56" s="242"/>
      <c r="Z56" s="720"/>
      <c r="AA56" s="720"/>
      <c r="AB56" s="720"/>
      <c r="AC56" s="720"/>
      <c r="AD56" s="71"/>
      <c r="AE56" s="174"/>
      <c r="AF56" s="72"/>
      <c r="AG56" s="843"/>
      <c r="AH56" s="844"/>
      <c r="AI56" s="844"/>
      <c r="AJ56" s="845"/>
      <c r="AK56" s="71"/>
      <c r="AM56" s="123">
        <f t="shared" si="4"/>
        <v>0</v>
      </c>
      <c r="AN56" s="122"/>
      <c r="AO56" s="847"/>
    </row>
    <row r="57" spans="2:44">
      <c r="B57" s="73"/>
      <c r="C57" s="876"/>
      <c r="D57" s="877"/>
      <c r="E57" s="877"/>
      <c r="F57" s="878"/>
      <c r="G57" s="74"/>
      <c r="H57" s="175"/>
      <c r="I57" s="73"/>
      <c r="J57" s="28"/>
      <c r="K57" s="225"/>
      <c r="L57" s="232"/>
      <c r="M57" s="232"/>
      <c r="N57" s="8"/>
      <c r="O57" s="62"/>
      <c r="P57" s="18"/>
      <c r="Q57" s="62"/>
      <c r="R57" s="18"/>
      <c r="S57" s="62"/>
      <c r="T57" s="18"/>
      <c r="U57" s="62"/>
      <c r="V57" s="18"/>
      <c r="W57" s="62"/>
      <c r="X57" s="25"/>
      <c r="Y57" s="8"/>
      <c r="Z57" s="8"/>
      <c r="AA57" s="8"/>
      <c r="AB57" s="8"/>
      <c r="AC57" s="8"/>
      <c r="AD57" s="74"/>
      <c r="AE57" s="175"/>
      <c r="AF57" s="73"/>
      <c r="AG57" s="8"/>
      <c r="AH57" s="8"/>
      <c r="AI57" s="8"/>
      <c r="AJ57" s="8"/>
      <c r="AK57" s="74"/>
      <c r="AL57" s="202"/>
      <c r="AM57" s="123"/>
      <c r="AN57" s="122"/>
      <c r="AO57" s="847"/>
    </row>
    <row r="58" spans="2:44" ht="69.5" customHeight="1">
      <c r="B58" s="73"/>
      <c r="C58" s="876"/>
      <c r="D58" s="877"/>
      <c r="E58" s="877"/>
      <c r="F58" s="878"/>
      <c r="G58" s="74"/>
      <c r="H58" s="175"/>
      <c r="I58" s="73"/>
      <c r="J58" s="858">
        <v>4.2</v>
      </c>
      <c r="K58" s="859" t="s">
        <v>304</v>
      </c>
      <c r="L58" s="859"/>
      <c r="M58" s="859"/>
      <c r="N58" s="249"/>
      <c r="O58" s="582" t="s">
        <v>584</v>
      </c>
      <c r="P58" s="582"/>
      <c r="Q58" s="582"/>
      <c r="R58" s="582"/>
      <c r="S58" s="582"/>
      <c r="T58" s="582"/>
      <c r="U58" s="582"/>
      <c r="V58" s="582"/>
      <c r="W58" s="582"/>
      <c r="X58" s="184" t="b">
        <v>0</v>
      </c>
      <c r="Y58" s="242"/>
      <c r="Z58" s="829" t="s">
        <v>80</v>
      </c>
      <c r="AA58" s="830"/>
      <c r="AB58" s="830"/>
      <c r="AC58" s="831"/>
      <c r="AD58" s="71"/>
      <c r="AE58" s="174"/>
      <c r="AF58" s="69"/>
      <c r="AG58" s="837" t="str" cm="1">
        <f t="array" ref="AG58">IF(OR(AM58:AM62),
    IF(OR(AM62,AM61), Feedback_List!B56,
        IF(AND(AM58, AM59, AM60), "",
            _xlfn.TEXTJOIN(CHAR(10), TRUE,
                AQ58,
                _xlfn._xlws.FILTER(AR58:AR60, NOT(AM58:AM60)))
        )
    ),
    "")</f>
        <v/>
      </c>
      <c r="AH58" s="838"/>
      <c r="AI58" s="838"/>
      <c r="AJ58" s="839"/>
      <c r="AK58" s="70"/>
      <c r="AM58" s="123">
        <f t="shared" ref="AM58:AM63" si="5">IF(X58, 1, 0)</f>
        <v>0</v>
      </c>
      <c r="AN58" s="122">
        <f>IF(AM58,1,0)</f>
        <v>0</v>
      </c>
      <c r="AO58" s="847"/>
      <c r="AQ58" s="120" t="s">
        <v>788</v>
      </c>
      <c r="AR58" s="124" t="s">
        <v>789</v>
      </c>
    </row>
    <row r="59" spans="2:44" ht="69.5" customHeight="1">
      <c r="B59" s="73"/>
      <c r="C59" s="876"/>
      <c r="D59" s="877"/>
      <c r="E59" s="877"/>
      <c r="F59" s="878"/>
      <c r="G59" s="74"/>
      <c r="H59" s="175"/>
      <c r="I59" s="73"/>
      <c r="J59" s="858"/>
      <c r="K59" s="859"/>
      <c r="L59" s="859"/>
      <c r="M59" s="859"/>
      <c r="N59" s="249"/>
      <c r="O59" s="788" t="s">
        <v>305</v>
      </c>
      <c r="P59" s="788"/>
      <c r="Q59" s="788"/>
      <c r="R59" s="788"/>
      <c r="S59" s="788"/>
      <c r="T59" s="788"/>
      <c r="U59" s="788"/>
      <c r="V59" s="788"/>
      <c r="W59" s="788"/>
      <c r="X59" s="184" t="b">
        <v>0</v>
      </c>
      <c r="Y59" s="242"/>
      <c r="Z59" s="832"/>
      <c r="AA59" s="833"/>
      <c r="AB59" s="833"/>
      <c r="AC59" s="834"/>
      <c r="AD59" s="71"/>
      <c r="AE59" s="174"/>
      <c r="AF59" s="69"/>
      <c r="AG59" s="840"/>
      <c r="AH59" s="841"/>
      <c r="AI59" s="841"/>
      <c r="AJ59" s="842"/>
      <c r="AK59" s="70"/>
      <c r="AM59" s="123">
        <f t="shared" si="5"/>
        <v>0</v>
      </c>
      <c r="AN59" s="122">
        <f>IF(AM59,1,0)</f>
        <v>0</v>
      </c>
      <c r="AO59" s="847"/>
      <c r="AR59" s="124" t="s">
        <v>790</v>
      </c>
    </row>
    <row r="60" spans="2:44" ht="69.5" customHeight="1">
      <c r="B60" s="73"/>
      <c r="C60" s="876"/>
      <c r="D60" s="877"/>
      <c r="E60" s="877"/>
      <c r="F60" s="878"/>
      <c r="G60" s="74"/>
      <c r="H60" s="175"/>
      <c r="I60" s="73"/>
      <c r="J60" s="858"/>
      <c r="K60" s="859"/>
      <c r="L60" s="859"/>
      <c r="M60" s="859"/>
      <c r="N60" s="249"/>
      <c r="O60" s="582" t="s">
        <v>306</v>
      </c>
      <c r="P60" s="582"/>
      <c r="Q60" s="582"/>
      <c r="R60" s="582"/>
      <c r="S60" s="582"/>
      <c r="T60" s="582"/>
      <c r="U60" s="582"/>
      <c r="V60" s="582"/>
      <c r="W60" s="582"/>
      <c r="X60" s="184" t="b">
        <v>0</v>
      </c>
      <c r="Y60" s="242"/>
      <c r="Z60" s="832"/>
      <c r="AA60" s="833"/>
      <c r="AB60" s="833"/>
      <c r="AC60" s="834"/>
      <c r="AD60" s="71"/>
      <c r="AE60" s="174"/>
      <c r="AF60" s="72"/>
      <c r="AG60" s="840"/>
      <c r="AH60" s="841"/>
      <c r="AI60" s="841"/>
      <c r="AJ60" s="842"/>
      <c r="AK60" s="71"/>
      <c r="AM60" s="123">
        <f t="shared" si="5"/>
        <v>0</v>
      </c>
      <c r="AN60" s="122">
        <f>IF(AM60,1,0)</f>
        <v>0</v>
      </c>
      <c r="AO60" s="847"/>
      <c r="AR60" s="124" t="s">
        <v>791</v>
      </c>
    </row>
    <row r="61" spans="2:44" ht="69.5" customHeight="1">
      <c r="B61" s="73"/>
      <c r="C61" s="876"/>
      <c r="D61" s="877"/>
      <c r="E61" s="877"/>
      <c r="F61" s="878"/>
      <c r="G61" s="74"/>
      <c r="H61" s="175"/>
      <c r="I61" s="73"/>
      <c r="J61" s="858"/>
      <c r="K61" s="859"/>
      <c r="L61" s="859"/>
      <c r="M61" s="859"/>
      <c r="N61" s="249"/>
      <c r="O61" s="548" t="s">
        <v>955</v>
      </c>
      <c r="P61" s="549"/>
      <c r="Q61" s="549"/>
      <c r="R61" s="549"/>
      <c r="S61" s="549"/>
      <c r="T61" s="549"/>
      <c r="U61" s="549"/>
      <c r="V61" s="549"/>
      <c r="W61" s="550"/>
      <c r="X61" s="184" t="b">
        <v>0</v>
      </c>
      <c r="Y61" s="242"/>
      <c r="Z61" s="832"/>
      <c r="AA61" s="833"/>
      <c r="AB61" s="833"/>
      <c r="AC61" s="834"/>
      <c r="AD61" s="71"/>
      <c r="AE61" s="174"/>
      <c r="AF61" s="72"/>
      <c r="AG61" s="840"/>
      <c r="AH61" s="841"/>
      <c r="AI61" s="841"/>
      <c r="AJ61" s="842"/>
      <c r="AK61" s="71"/>
      <c r="AM61" s="123">
        <f t="shared" si="5"/>
        <v>0</v>
      </c>
      <c r="AN61" s="122"/>
      <c r="AO61" s="847"/>
      <c r="AR61" s="124"/>
    </row>
    <row r="62" spans="2:44" ht="69.5" customHeight="1">
      <c r="B62" s="73"/>
      <c r="C62" s="876"/>
      <c r="D62" s="877"/>
      <c r="E62" s="877"/>
      <c r="F62" s="878"/>
      <c r="G62" s="74"/>
      <c r="H62" s="175"/>
      <c r="I62" s="73"/>
      <c r="J62" s="858"/>
      <c r="K62" s="859"/>
      <c r="L62" s="859"/>
      <c r="M62" s="859"/>
      <c r="N62" s="249"/>
      <c r="O62" s="548" t="s">
        <v>957</v>
      </c>
      <c r="P62" s="549"/>
      <c r="Q62" s="549"/>
      <c r="R62" s="549"/>
      <c r="S62" s="549"/>
      <c r="T62" s="549"/>
      <c r="U62" s="549"/>
      <c r="V62" s="549"/>
      <c r="W62" s="550"/>
      <c r="X62" s="184" t="b">
        <v>0</v>
      </c>
      <c r="Y62" s="242"/>
      <c r="Z62" s="832"/>
      <c r="AA62" s="833"/>
      <c r="AB62" s="833"/>
      <c r="AC62" s="834"/>
      <c r="AD62" s="71"/>
      <c r="AE62" s="174"/>
      <c r="AF62" s="72"/>
      <c r="AG62" s="840"/>
      <c r="AH62" s="841"/>
      <c r="AI62" s="841"/>
      <c r="AJ62" s="842"/>
      <c r="AK62" s="71"/>
      <c r="AM62" s="123">
        <f t="shared" si="5"/>
        <v>0</v>
      </c>
      <c r="AN62" s="122"/>
      <c r="AO62" s="847"/>
    </row>
    <row r="63" spans="2:44" ht="69.5" customHeight="1">
      <c r="B63" s="73"/>
      <c r="C63" s="876"/>
      <c r="D63" s="877"/>
      <c r="E63" s="877"/>
      <c r="F63" s="878"/>
      <c r="G63" s="74"/>
      <c r="H63" s="175"/>
      <c r="I63" s="73"/>
      <c r="J63" s="858"/>
      <c r="K63" s="859"/>
      <c r="L63" s="859"/>
      <c r="M63" s="859"/>
      <c r="N63" s="245"/>
      <c r="O63" s="788" t="s">
        <v>196</v>
      </c>
      <c r="P63" s="788"/>
      <c r="Q63" s="788"/>
      <c r="R63" s="788"/>
      <c r="S63" s="788"/>
      <c r="T63" s="788"/>
      <c r="U63" s="788"/>
      <c r="V63" s="788"/>
      <c r="W63" s="788"/>
      <c r="X63" s="184" t="b">
        <v>0</v>
      </c>
      <c r="Y63" s="8"/>
      <c r="Z63" s="835"/>
      <c r="AA63" s="701"/>
      <c r="AB63" s="701"/>
      <c r="AC63" s="836"/>
      <c r="AD63" s="74"/>
      <c r="AE63" s="174"/>
      <c r="AF63" s="72"/>
      <c r="AG63" s="843"/>
      <c r="AH63" s="844"/>
      <c r="AI63" s="844"/>
      <c r="AJ63" s="845"/>
      <c r="AK63" s="71"/>
      <c r="AM63" s="123">
        <f t="shared" si="5"/>
        <v>0</v>
      </c>
      <c r="AN63" s="122"/>
      <c r="AO63" s="847"/>
    </row>
    <row r="64" spans="2:44">
      <c r="B64" s="73"/>
      <c r="C64" s="876"/>
      <c r="D64" s="877"/>
      <c r="E64" s="877"/>
      <c r="F64" s="878"/>
      <c r="G64" s="74"/>
      <c r="H64" s="175"/>
      <c r="I64" s="73"/>
      <c r="J64" s="28"/>
      <c r="K64" s="225"/>
      <c r="L64" s="232"/>
      <c r="M64" s="232"/>
      <c r="N64" s="8"/>
      <c r="O64" s="62"/>
      <c r="P64" s="18"/>
      <c r="Q64" s="62"/>
      <c r="R64" s="18"/>
      <c r="S64" s="62"/>
      <c r="T64" s="18"/>
      <c r="U64" s="62"/>
      <c r="V64" s="18"/>
      <c r="W64" s="62"/>
      <c r="X64" s="25"/>
      <c r="Y64" s="8"/>
      <c r="Z64" s="8"/>
      <c r="AA64" s="8"/>
      <c r="AB64" s="8"/>
      <c r="AC64" s="8"/>
      <c r="AD64" s="74"/>
      <c r="AE64" s="175"/>
      <c r="AF64" s="73"/>
      <c r="AG64" s="8"/>
      <c r="AH64" s="8"/>
      <c r="AI64" s="8"/>
      <c r="AJ64" s="8"/>
      <c r="AK64" s="74"/>
      <c r="AL64" s="202"/>
      <c r="AM64" s="123"/>
      <c r="AN64" s="122"/>
      <c r="AO64" s="847"/>
    </row>
    <row r="65" spans="2:44" ht="60.5" customHeight="1">
      <c r="B65" s="73"/>
      <c r="C65" s="876"/>
      <c r="D65" s="877"/>
      <c r="E65" s="877"/>
      <c r="F65" s="878"/>
      <c r="G65" s="74"/>
      <c r="H65" s="175"/>
      <c r="I65" s="73"/>
      <c r="J65" s="858">
        <v>4.3</v>
      </c>
      <c r="K65" s="859" t="s">
        <v>307</v>
      </c>
      <c r="L65" s="859"/>
      <c r="M65" s="859"/>
      <c r="N65" s="249"/>
      <c r="O65" s="788" t="s">
        <v>581</v>
      </c>
      <c r="P65" s="788"/>
      <c r="Q65" s="788"/>
      <c r="R65" s="788"/>
      <c r="S65" s="788"/>
      <c r="T65" s="788"/>
      <c r="U65" s="788"/>
      <c r="V65" s="788"/>
      <c r="W65" s="788"/>
      <c r="X65" s="184" t="b">
        <v>0</v>
      </c>
      <c r="Y65" s="242"/>
      <c r="Z65" s="720" t="s">
        <v>80</v>
      </c>
      <c r="AA65" s="720"/>
      <c r="AB65" s="720"/>
      <c r="AC65" s="720"/>
      <c r="AD65" s="71"/>
      <c r="AE65" s="174"/>
      <c r="AF65" s="69"/>
      <c r="AG65" s="837" t="str" cm="1">
        <f t="array" ref="AG65">IF(OR(AM65:AM69, AM70),
    IF(AM70, Feedback_List!B57,
        IF(AND(AM65, AM66, AM67, AM68, AM69), "",
            _xlfn.TEXTJOIN(CHAR(10), TRUE,
                AQ65,
                _xlfn._xlws.FILTER(AR65:AR69, NOT(AM65:AM69)))
        )
    ),
    "")</f>
        <v/>
      </c>
      <c r="AH65" s="838"/>
      <c r="AI65" s="838"/>
      <c r="AJ65" s="839"/>
      <c r="AK65" s="70"/>
      <c r="AM65" s="123">
        <f t="shared" ref="AM65:AM70" si="6">IF(X65, 1, 0)</f>
        <v>0</v>
      </c>
      <c r="AN65" s="122">
        <f>IF(AM65,1,0)</f>
        <v>0</v>
      </c>
      <c r="AO65" s="847"/>
      <c r="AQ65" s="120" t="s">
        <v>792</v>
      </c>
      <c r="AR65" s="124" t="s">
        <v>793</v>
      </c>
    </row>
    <row r="66" spans="2:44" ht="60.5" customHeight="1">
      <c r="B66" s="73"/>
      <c r="C66" s="876"/>
      <c r="D66" s="877"/>
      <c r="E66" s="877"/>
      <c r="F66" s="878"/>
      <c r="G66" s="74"/>
      <c r="H66" s="175"/>
      <c r="I66" s="73"/>
      <c r="J66" s="858"/>
      <c r="K66" s="859"/>
      <c r="L66" s="859"/>
      <c r="M66" s="859"/>
      <c r="N66" s="249"/>
      <c r="O66" s="788" t="s">
        <v>582</v>
      </c>
      <c r="P66" s="788"/>
      <c r="Q66" s="788"/>
      <c r="R66" s="788"/>
      <c r="S66" s="788"/>
      <c r="T66" s="788"/>
      <c r="U66" s="788"/>
      <c r="V66" s="788"/>
      <c r="W66" s="788"/>
      <c r="X66" s="184" t="b">
        <v>0</v>
      </c>
      <c r="Y66" s="242"/>
      <c r="Z66" s="720"/>
      <c r="AA66" s="720"/>
      <c r="AB66" s="720"/>
      <c r="AC66" s="720"/>
      <c r="AD66" s="71"/>
      <c r="AE66" s="174"/>
      <c r="AF66" s="69"/>
      <c r="AG66" s="840"/>
      <c r="AH66" s="841"/>
      <c r="AI66" s="841"/>
      <c r="AJ66" s="842"/>
      <c r="AK66" s="70"/>
      <c r="AM66" s="123">
        <f t="shared" si="6"/>
        <v>0</v>
      </c>
      <c r="AN66" s="122">
        <f>IF(AM66,1,0)</f>
        <v>0</v>
      </c>
      <c r="AO66" s="847"/>
      <c r="AR66" s="124" t="s">
        <v>794</v>
      </c>
    </row>
    <row r="67" spans="2:44" ht="60.5" customHeight="1">
      <c r="B67" s="73"/>
      <c r="C67" s="876"/>
      <c r="D67" s="877"/>
      <c r="E67" s="877"/>
      <c r="F67" s="878"/>
      <c r="G67" s="74"/>
      <c r="H67" s="175"/>
      <c r="I67" s="73"/>
      <c r="J67" s="858"/>
      <c r="K67" s="859"/>
      <c r="L67" s="859"/>
      <c r="M67" s="859"/>
      <c r="N67" s="249"/>
      <c r="O67" s="788" t="s">
        <v>583</v>
      </c>
      <c r="P67" s="788"/>
      <c r="Q67" s="788"/>
      <c r="R67" s="788"/>
      <c r="S67" s="788"/>
      <c r="T67" s="788"/>
      <c r="U67" s="788"/>
      <c r="V67" s="788"/>
      <c r="W67" s="788"/>
      <c r="X67" s="184" t="b">
        <v>0</v>
      </c>
      <c r="Y67" s="242"/>
      <c r="Z67" s="720"/>
      <c r="AA67" s="720"/>
      <c r="AB67" s="720"/>
      <c r="AC67" s="720"/>
      <c r="AD67" s="71"/>
      <c r="AE67" s="174"/>
      <c r="AF67" s="72"/>
      <c r="AG67" s="840"/>
      <c r="AH67" s="841"/>
      <c r="AI67" s="841"/>
      <c r="AJ67" s="842"/>
      <c r="AK67" s="71"/>
      <c r="AM67" s="123">
        <f t="shared" si="6"/>
        <v>0</v>
      </c>
      <c r="AN67" s="122">
        <f>IF(AM67,1,0)</f>
        <v>0</v>
      </c>
      <c r="AO67" s="847"/>
      <c r="AR67" s="124" t="s">
        <v>795</v>
      </c>
    </row>
    <row r="68" spans="2:44" ht="60.5" customHeight="1">
      <c r="B68" s="73"/>
      <c r="C68" s="876"/>
      <c r="D68" s="877"/>
      <c r="E68" s="877"/>
      <c r="F68" s="878"/>
      <c r="G68" s="74"/>
      <c r="H68" s="175"/>
      <c r="I68" s="73"/>
      <c r="J68" s="858"/>
      <c r="K68" s="859"/>
      <c r="L68" s="859"/>
      <c r="M68" s="859"/>
      <c r="N68" s="249"/>
      <c r="O68" s="788" t="s">
        <v>308</v>
      </c>
      <c r="P68" s="788"/>
      <c r="Q68" s="788"/>
      <c r="R68" s="788"/>
      <c r="S68" s="788"/>
      <c r="T68" s="788"/>
      <c r="U68" s="788"/>
      <c r="V68" s="788"/>
      <c r="W68" s="788"/>
      <c r="X68" s="184" t="b">
        <v>0</v>
      </c>
      <c r="Y68" s="242"/>
      <c r="Z68" s="720"/>
      <c r="AA68" s="720"/>
      <c r="AB68" s="720"/>
      <c r="AC68" s="720"/>
      <c r="AD68" s="71"/>
      <c r="AE68" s="174"/>
      <c r="AF68" s="72"/>
      <c r="AG68" s="840"/>
      <c r="AH68" s="841"/>
      <c r="AI68" s="841"/>
      <c r="AJ68" s="842"/>
      <c r="AK68" s="71"/>
      <c r="AM68" s="123">
        <f t="shared" si="6"/>
        <v>0</v>
      </c>
      <c r="AN68" s="122">
        <f>IF(AM68,1,0)</f>
        <v>0</v>
      </c>
      <c r="AO68" s="847"/>
      <c r="AR68" s="124" t="s">
        <v>796</v>
      </c>
    </row>
    <row r="69" spans="2:44" ht="60.5" customHeight="1">
      <c r="B69" s="73"/>
      <c r="C69" s="876"/>
      <c r="D69" s="877"/>
      <c r="E69" s="877"/>
      <c r="F69" s="878"/>
      <c r="G69" s="74"/>
      <c r="H69" s="175"/>
      <c r="I69" s="73"/>
      <c r="J69" s="858"/>
      <c r="K69" s="859"/>
      <c r="L69" s="859"/>
      <c r="M69" s="859"/>
      <c r="N69" s="249"/>
      <c r="O69" s="788" t="s">
        <v>309</v>
      </c>
      <c r="P69" s="788"/>
      <c r="Q69" s="788"/>
      <c r="R69" s="788"/>
      <c r="S69" s="788"/>
      <c r="T69" s="788"/>
      <c r="U69" s="788"/>
      <c r="V69" s="788"/>
      <c r="W69" s="788"/>
      <c r="X69" s="184" t="b">
        <v>0</v>
      </c>
      <c r="Y69" s="242"/>
      <c r="Z69" s="720"/>
      <c r="AA69" s="720"/>
      <c r="AB69" s="720"/>
      <c r="AC69" s="720"/>
      <c r="AD69" s="71"/>
      <c r="AE69" s="174"/>
      <c r="AF69" s="72"/>
      <c r="AG69" s="840"/>
      <c r="AH69" s="841"/>
      <c r="AI69" s="841"/>
      <c r="AJ69" s="842"/>
      <c r="AK69" s="71"/>
      <c r="AM69" s="123">
        <f t="shared" si="6"/>
        <v>0</v>
      </c>
      <c r="AN69" s="122">
        <f>IF(AM69,1,0)</f>
        <v>0</v>
      </c>
      <c r="AO69" s="847"/>
      <c r="AR69" s="124" t="s">
        <v>797</v>
      </c>
    </row>
    <row r="70" spans="2:44" ht="60.5" customHeight="1">
      <c r="B70" s="73"/>
      <c r="C70" s="876"/>
      <c r="D70" s="877"/>
      <c r="E70" s="877"/>
      <c r="F70" s="878"/>
      <c r="G70" s="74"/>
      <c r="H70" s="175"/>
      <c r="I70" s="73"/>
      <c r="J70" s="858"/>
      <c r="K70" s="859"/>
      <c r="L70" s="859"/>
      <c r="M70" s="859"/>
      <c r="N70" s="249"/>
      <c r="O70" s="771" t="s">
        <v>630</v>
      </c>
      <c r="P70" s="860"/>
      <c r="Q70" s="860"/>
      <c r="R70" s="860"/>
      <c r="S70" s="860"/>
      <c r="T70" s="860"/>
      <c r="U70" s="860"/>
      <c r="V70" s="860"/>
      <c r="W70" s="772"/>
      <c r="X70" s="184" t="b">
        <v>0</v>
      </c>
      <c r="Y70" s="242"/>
      <c r="Z70" s="720"/>
      <c r="AA70" s="720"/>
      <c r="AB70" s="720"/>
      <c r="AC70" s="720"/>
      <c r="AD70" s="71"/>
      <c r="AE70" s="174"/>
      <c r="AF70" s="72"/>
      <c r="AG70" s="840"/>
      <c r="AH70" s="841"/>
      <c r="AI70" s="841"/>
      <c r="AJ70" s="842"/>
      <c r="AK70" s="71"/>
      <c r="AM70" s="123">
        <f t="shared" si="6"/>
        <v>0</v>
      </c>
      <c r="AN70" s="122"/>
      <c r="AO70" s="847"/>
    </row>
    <row r="71" spans="2:44" ht="60.5" customHeight="1">
      <c r="B71" s="73"/>
      <c r="C71" s="876"/>
      <c r="D71" s="877"/>
      <c r="E71" s="877"/>
      <c r="F71" s="878"/>
      <c r="G71" s="74"/>
      <c r="H71" s="175"/>
      <c r="I71" s="73"/>
      <c r="J71" s="858"/>
      <c r="K71" s="859"/>
      <c r="L71" s="859"/>
      <c r="M71" s="859"/>
      <c r="N71" s="249"/>
      <c r="O71" s="788" t="s">
        <v>196</v>
      </c>
      <c r="P71" s="788"/>
      <c r="Q71" s="788"/>
      <c r="R71" s="788"/>
      <c r="S71" s="788"/>
      <c r="T71" s="788"/>
      <c r="U71" s="788"/>
      <c r="V71" s="788"/>
      <c r="W71" s="788"/>
      <c r="X71" s="184" t="b">
        <v>0</v>
      </c>
      <c r="Y71" s="8"/>
      <c r="Z71" s="720"/>
      <c r="AA71" s="720"/>
      <c r="AB71" s="720"/>
      <c r="AC71" s="720"/>
      <c r="AD71" s="74"/>
      <c r="AE71" s="174"/>
      <c r="AF71" s="72"/>
      <c r="AG71" s="840"/>
      <c r="AH71" s="841"/>
      <c r="AI71" s="841"/>
      <c r="AJ71" s="842"/>
      <c r="AK71" s="71"/>
      <c r="AL71" s="202"/>
      <c r="AM71" s="110">
        <f>IF(X71, 1, 0)</f>
        <v>0</v>
      </c>
      <c r="AN71" s="481"/>
      <c r="AO71" s="848"/>
    </row>
    <row r="72" spans="2:44" ht="19" thickBot="1">
      <c r="B72" s="73"/>
      <c r="C72" s="879"/>
      <c r="D72" s="880"/>
      <c r="E72" s="880"/>
      <c r="F72" s="881"/>
      <c r="G72" s="74"/>
      <c r="H72" s="175"/>
      <c r="I72" s="73"/>
      <c r="J72" s="28"/>
      <c r="K72" s="225"/>
      <c r="L72" s="232"/>
      <c r="M72" s="232"/>
      <c r="N72" s="8"/>
      <c r="O72" s="62"/>
      <c r="P72" s="18"/>
      <c r="Q72" s="62"/>
      <c r="R72" s="18"/>
      <c r="S72" s="62"/>
      <c r="T72" s="18"/>
      <c r="U72" s="62"/>
      <c r="V72" s="18"/>
      <c r="W72" s="62"/>
      <c r="X72" s="25"/>
      <c r="Y72" s="8"/>
      <c r="Z72" s="8"/>
      <c r="AA72" s="8"/>
      <c r="AB72" s="8"/>
      <c r="AC72" s="8"/>
      <c r="AD72" s="74"/>
      <c r="AE72" s="175"/>
      <c r="AF72" s="73"/>
      <c r="AG72" s="840"/>
      <c r="AH72" s="841"/>
      <c r="AI72" s="841"/>
      <c r="AJ72" s="842"/>
      <c r="AK72" s="74"/>
      <c r="AL72" s="202"/>
      <c r="AM72" s="129">
        <f>SUM(AM49:AM70)</f>
        <v>0</v>
      </c>
      <c r="AN72" s="129">
        <f>SUM(AN49:AN70)</f>
        <v>0</v>
      </c>
      <c r="AO72" s="266"/>
    </row>
    <row r="73" spans="2:44" ht="19" thickTop="1">
      <c r="B73" s="73"/>
      <c r="C73" s="8"/>
      <c r="D73" s="8"/>
      <c r="E73" s="8"/>
      <c r="F73" s="8"/>
      <c r="G73" s="74"/>
      <c r="H73" s="175"/>
      <c r="I73" s="73"/>
      <c r="J73" s="28" t="s">
        <v>586</v>
      </c>
      <c r="K73" s="225" t="s">
        <v>863</v>
      </c>
      <c r="L73" s="232"/>
      <c r="M73" s="232"/>
      <c r="N73" s="8"/>
      <c r="O73" s="62"/>
      <c r="P73" s="18"/>
      <c r="Q73" s="62"/>
      <c r="R73" s="18"/>
      <c r="S73" s="62"/>
      <c r="T73" s="18"/>
      <c r="U73" s="62"/>
      <c r="V73" s="18"/>
      <c r="W73" s="62"/>
      <c r="X73" s="25"/>
      <c r="Y73" s="8"/>
      <c r="Z73" s="8"/>
      <c r="AA73" s="8"/>
      <c r="AB73" s="8"/>
      <c r="AC73" s="8"/>
      <c r="AD73" s="74"/>
      <c r="AE73" s="175"/>
      <c r="AF73" s="73"/>
      <c r="AG73" s="843"/>
      <c r="AH73" s="844"/>
      <c r="AI73" s="844"/>
      <c r="AJ73" s="845"/>
      <c r="AK73" s="74"/>
      <c r="AL73" s="202"/>
      <c r="AM73" s="102"/>
      <c r="AN73" s="102"/>
      <c r="AO73" s="117"/>
    </row>
    <row r="74" spans="2:44">
      <c r="B74" s="73"/>
      <c r="C74" s="873"/>
      <c r="D74" s="874"/>
      <c r="E74" s="874"/>
      <c r="F74" s="875"/>
      <c r="G74" s="74"/>
      <c r="H74" s="175"/>
      <c r="I74" s="73"/>
      <c r="J74" s="28"/>
      <c r="K74" s="225"/>
      <c r="L74" s="232"/>
      <c r="M74" s="232"/>
      <c r="N74" s="8"/>
      <c r="O74" s="62"/>
      <c r="P74" s="18"/>
      <c r="Q74" s="62"/>
      <c r="R74" s="18"/>
      <c r="S74" s="62"/>
      <c r="T74" s="18"/>
      <c r="U74" s="62"/>
      <c r="V74" s="18"/>
      <c r="W74" s="62"/>
      <c r="X74" s="25"/>
      <c r="Y74" s="8"/>
      <c r="Z74" s="8"/>
      <c r="AA74" s="8"/>
      <c r="AB74" s="8"/>
      <c r="AC74" s="8"/>
      <c r="AD74" s="74"/>
      <c r="AE74" s="175"/>
      <c r="AF74" s="73"/>
      <c r="AG74" s="8"/>
      <c r="AH74" s="8"/>
      <c r="AI74" s="8"/>
      <c r="AJ74" s="8"/>
      <c r="AK74" s="74"/>
      <c r="AL74" s="202"/>
      <c r="AM74" s="102"/>
      <c r="AN74" s="102"/>
      <c r="AO74" s="117"/>
    </row>
    <row r="75" spans="2:44" ht="62" customHeight="1">
      <c r="B75" s="73"/>
      <c r="C75" s="876"/>
      <c r="D75" s="877"/>
      <c r="E75" s="877"/>
      <c r="F75" s="878"/>
      <c r="G75" s="74"/>
      <c r="H75" s="175"/>
      <c r="I75" s="73"/>
      <c r="J75" s="861">
        <v>5.0999999999999996</v>
      </c>
      <c r="K75" s="680" t="s">
        <v>589</v>
      </c>
      <c r="L75" s="681"/>
      <c r="M75" s="682"/>
      <c r="N75" s="8"/>
      <c r="O75" s="771" t="s">
        <v>587</v>
      </c>
      <c r="P75" s="860"/>
      <c r="Q75" s="860"/>
      <c r="R75" s="860"/>
      <c r="S75" s="860"/>
      <c r="T75" s="860"/>
      <c r="U75" s="860"/>
      <c r="V75" s="860"/>
      <c r="W75" s="772"/>
      <c r="X75" s="184" t="b">
        <v>0</v>
      </c>
      <c r="Y75" s="8"/>
      <c r="Z75" s="773" t="s">
        <v>80</v>
      </c>
      <c r="AA75" s="774"/>
      <c r="AB75" s="774"/>
      <c r="AC75" s="775"/>
      <c r="AD75" s="74"/>
      <c r="AE75" s="175"/>
      <c r="AF75" s="73"/>
      <c r="AG75" s="820" t="str">
        <f>IF(AM76,Feedback_List!B59, " ")</f>
        <v xml:space="preserve"> </v>
      </c>
      <c r="AH75" s="821"/>
      <c r="AI75" s="821"/>
      <c r="AJ75" s="822"/>
      <c r="AK75" s="74"/>
      <c r="AL75" s="202"/>
      <c r="AM75" s="185">
        <f>IF(X75, 1, 0)</f>
        <v>0</v>
      </c>
      <c r="AN75" s="186">
        <f>IF(AM75,5,IF(AM76,0,0))</f>
        <v>0</v>
      </c>
      <c r="AO75" s="698">
        <f>SUM(AN75:AN82)*AW12</f>
        <v>0</v>
      </c>
    </row>
    <row r="76" spans="2:44" ht="62" customHeight="1">
      <c r="B76" s="73"/>
      <c r="C76" s="876"/>
      <c r="D76" s="877"/>
      <c r="E76" s="877"/>
      <c r="F76" s="878"/>
      <c r="G76" s="74"/>
      <c r="H76" s="175"/>
      <c r="I76" s="73"/>
      <c r="J76" s="862"/>
      <c r="K76" s="620"/>
      <c r="L76" s="621"/>
      <c r="M76" s="622"/>
      <c r="N76" s="8"/>
      <c r="O76" s="813" t="s">
        <v>588</v>
      </c>
      <c r="P76" s="891"/>
      <c r="Q76" s="891"/>
      <c r="R76" s="891"/>
      <c r="S76" s="891"/>
      <c r="T76" s="891"/>
      <c r="U76" s="891"/>
      <c r="V76" s="891"/>
      <c r="W76" s="814"/>
      <c r="X76" s="246" t="b">
        <v>0</v>
      </c>
      <c r="Y76" s="8"/>
      <c r="Z76" s="779"/>
      <c r="AA76" s="780"/>
      <c r="AB76" s="780"/>
      <c r="AC76" s="781"/>
      <c r="AD76" s="74"/>
      <c r="AE76" s="175"/>
      <c r="AF76" s="73"/>
      <c r="AG76" s="826"/>
      <c r="AH76" s="827"/>
      <c r="AI76" s="827"/>
      <c r="AJ76" s="828"/>
      <c r="AK76" s="74"/>
      <c r="AL76" s="202"/>
      <c r="AM76" s="123">
        <f>IF(X76, 1, 0)</f>
        <v>0</v>
      </c>
      <c r="AN76" s="122"/>
      <c r="AO76" s="699"/>
    </row>
    <row r="77" spans="2:44" ht="18" customHeight="1">
      <c r="B77" s="73"/>
      <c r="C77" s="876"/>
      <c r="D77" s="877"/>
      <c r="E77" s="877"/>
      <c r="F77" s="878"/>
      <c r="G77" s="74"/>
      <c r="H77" s="175"/>
      <c r="I77" s="73"/>
      <c r="J77" s="247"/>
      <c r="K77" s="247"/>
      <c r="L77" s="247"/>
      <c r="M77" s="247"/>
      <c r="N77" s="8"/>
      <c r="O77" s="62"/>
      <c r="P77" s="62"/>
      <c r="Q77" s="62"/>
      <c r="R77" s="62"/>
      <c r="S77" s="62"/>
      <c r="T77" s="62"/>
      <c r="U77" s="62"/>
      <c r="V77" s="62"/>
      <c r="W77" s="62"/>
      <c r="X77" s="25"/>
      <c r="Y77" s="8"/>
      <c r="Z77" s="8"/>
      <c r="AA77" s="8"/>
      <c r="AB77" s="8"/>
      <c r="AC77" s="8"/>
      <c r="AD77" s="74"/>
      <c r="AE77" s="175"/>
      <c r="AF77" s="73"/>
      <c r="AG77" s="8"/>
      <c r="AH77" s="8"/>
      <c r="AI77" s="8"/>
      <c r="AJ77" s="8"/>
      <c r="AK77" s="74"/>
      <c r="AL77" s="202"/>
      <c r="AM77" s="123"/>
      <c r="AN77" s="122"/>
      <c r="AO77" s="699"/>
    </row>
    <row r="78" spans="2:44" ht="36.5" customHeight="1">
      <c r="B78" s="73"/>
      <c r="C78" s="876"/>
      <c r="D78" s="877"/>
      <c r="E78" s="877"/>
      <c r="F78" s="878"/>
      <c r="G78" s="74"/>
      <c r="H78" s="175"/>
      <c r="I78" s="73"/>
      <c r="J78" s="861">
        <v>5.2</v>
      </c>
      <c r="K78" s="680" t="s">
        <v>590</v>
      </c>
      <c r="L78" s="681"/>
      <c r="M78" s="682"/>
      <c r="N78" s="8"/>
      <c r="O78" s="788" t="s">
        <v>474</v>
      </c>
      <c r="P78" s="788"/>
      <c r="Q78" s="788"/>
      <c r="R78" s="788"/>
      <c r="S78" s="788"/>
      <c r="T78" s="788"/>
      <c r="U78" s="788"/>
      <c r="V78" s="788"/>
      <c r="W78" s="788"/>
      <c r="X78" s="184" t="b">
        <v>0</v>
      </c>
      <c r="Y78" s="8"/>
      <c r="Z78" s="773" t="s">
        <v>80</v>
      </c>
      <c r="AA78" s="774"/>
      <c r="AB78" s="774"/>
      <c r="AC78" s="775"/>
      <c r="AD78" s="74"/>
      <c r="AE78" s="175"/>
      <c r="AF78" s="73"/>
      <c r="AG78" s="820" t="str" cm="1">
        <f t="array" ref="AG78">IF(OR(AM78:AM80, AM81),
    IF(AM81, Feedback_List!B60,
        IF(AND(AM78, AM79, AM80), "",
            _xlfn.TEXTJOIN(CHAR(10), TRUE,
                AQ78,
                _xlfn._xlws.FILTER(AR78:AR80, NOT(AM78:AM80)))
        )
    ),
    "")</f>
        <v/>
      </c>
      <c r="AH78" s="821"/>
      <c r="AI78" s="821"/>
      <c r="AJ78" s="822"/>
      <c r="AK78" s="74"/>
      <c r="AL78" s="202"/>
      <c r="AM78" s="123">
        <f>IF(X78, 1, 0)</f>
        <v>0</v>
      </c>
      <c r="AN78" s="122">
        <f>IF(AM78,1,0)</f>
        <v>0</v>
      </c>
      <c r="AO78" s="699"/>
      <c r="AQ78" s="120" t="s">
        <v>798</v>
      </c>
      <c r="AR78" s="124" t="s">
        <v>799</v>
      </c>
    </row>
    <row r="79" spans="2:44" ht="36.5" customHeight="1">
      <c r="B79" s="73"/>
      <c r="C79" s="876"/>
      <c r="D79" s="877"/>
      <c r="E79" s="877"/>
      <c r="F79" s="878"/>
      <c r="G79" s="74"/>
      <c r="H79" s="175"/>
      <c r="I79" s="73"/>
      <c r="J79" s="892"/>
      <c r="K79" s="617"/>
      <c r="L79" s="618"/>
      <c r="M79" s="619"/>
      <c r="N79" s="8"/>
      <c r="O79" s="788" t="s">
        <v>591</v>
      </c>
      <c r="P79" s="788"/>
      <c r="Q79" s="788"/>
      <c r="R79" s="788"/>
      <c r="S79" s="788"/>
      <c r="T79" s="788"/>
      <c r="U79" s="788"/>
      <c r="V79" s="788"/>
      <c r="W79" s="788"/>
      <c r="X79" s="184" t="b">
        <v>0</v>
      </c>
      <c r="Y79" s="8"/>
      <c r="Z79" s="776"/>
      <c r="AA79" s="777"/>
      <c r="AB79" s="777"/>
      <c r="AC79" s="778"/>
      <c r="AD79" s="74"/>
      <c r="AE79" s="175"/>
      <c r="AF79" s="73"/>
      <c r="AG79" s="823"/>
      <c r="AH79" s="824"/>
      <c r="AI79" s="824"/>
      <c r="AJ79" s="825"/>
      <c r="AK79" s="74"/>
      <c r="AL79" s="202"/>
      <c r="AM79" s="123">
        <f>IF(X79, 1, 0)</f>
        <v>0</v>
      </c>
      <c r="AN79" s="122">
        <f>IF(AM79,1,0)</f>
        <v>0</v>
      </c>
      <c r="AO79" s="699"/>
      <c r="AR79" s="124" t="s">
        <v>800</v>
      </c>
    </row>
    <row r="80" spans="2:44" ht="36.5" customHeight="1">
      <c r="B80" s="73"/>
      <c r="C80" s="876"/>
      <c r="D80" s="877"/>
      <c r="E80" s="877"/>
      <c r="F80" s="878"/>
      <c r="G80" s="74"/>
      <c r="H80" s="175"/>
      <c r="I80" s="73"/>
      <c r="J80" s="892"/>
      <c r="K80" s="617"/>
      <c r="L80" s="618"/>
      <c r="M80" s="619"/>
      <c r="N80" s="8"/>
      <c r="O80" s="788" t="s">
        <v>475</v>
      </c>
      <c r="P80" s="788"/>
      <c r="Q80" s="788"/>
      <c r="R80" s="788"/>
      <c r="S80" s="788"/>
      <c r="T80" s="788"/>
      <c r="U80" s="788"/>
      <c r="V80" s="788"/>
      <c r="W80" s="788"/>
      <c r="X80" s="184" t="b">
        <v>0</v>
      </c>
      <c r="Y80" s="8"/>
      <c r="Z80" s="776"/>
      <c r="AA80" s="777"/>
      <c r="AB80" s="777"/>
      <c r="AC80" s="778"/>
      <c r="AD80" s="74"/>
      <c r="AE80" s="175"/>
      <c r="AF80" s="73"/>
      <c r="AG80" s="823"/>
      <c r="AH80" s="824"/>
      <c r="AI80" s="824"/>
      <c r="AJ80" s="825"/>
      <c r="AK80" s="74"/>
      <c r="AL80" s="202"/>
      <c r="AM80" s="123">
        <f>IF(X80, 1, 0)</f>
        <v>0</v>
      </c>
      <c r="AN80" s="122">
        <f>IF(AM80,1,0)</f>
        <v>0</v>
      </c>
      <c r="AO80" s="699"/>
      <c r="AR80" s="124" t="s">
        <v>801</v>
      </c>
    </row>
    <row r="81" spans="2:44" ht="36.5" customHeight="1">
      <c r="B81" s="73"/>
      <c r="C81" s="876"/>
      <c r="D81" s="877"/>
      <c r="E81" s="877"/>
      <c r="F81" s="878"/>
      <c r="G81" s="74"/>
      <c r="H81" s="175"/>
      <c r="I81" s="73"/>
      <c r="J81" s="892"/>
      <c r="K81" s="617"/>
      <c r="L81" s="618"/>
      <c r="M81" s="619"/>
      <c r="N81" s="8"/>
      <c r="O81" s="771" t="s">
        <v>629</v>
      </c>
      <c r="P81" s="860"/>
      <c r="Q81" s="860"/>
      <c r="R81" s="860"/>
      <c r="S81" s="860"/>
      <c r="T81" s="860"/>
      <c r="U81" s="860"/>
      <c r="V81" s="860"/>
      <c r="W81" s="772"/>
      <c r="X81" s="184" t="b">
        <v>0</v>
      </c>
      <c r="Y81" s="8"/>
      <c r="Z81" s="776"/>
      <c r="AA81" s="777"/>
      <c r="AB81" s="777"/>
      <c r="AC81" s="778"/>
      <c r="AD81" s="74"/>
      <c r="AE81" s="175"/>
      <c r="AF81" s="73"/>
      <c r="AG81" s="823"/>
      <c r="AH81" s="824"/>
      <c r="AI81" s="824"/>
      <c r="AJ81" s="825"/>
      <c r="AK81" s="74"/>
      <c r="AL81" s="202"/>
      <c r="AM81" s="123">
        <f>IF(X81, 1, 0)</f>
        <v>0</v>
      </c>
      <c r="AN81" s="122"/>
      <c r="AO81" s="699"/>
      <c r="AR81" s="124"/>
    </row>
    <row r="82" spans="2:44" ht="36.5" customHeight="1">
      <c r="B82" s="73"/>
      <c r="C82" s="876"/>
      <c r="D82" s="877"/>
      <c r="E82" s="877"/>
      <c r="F82" s="878"/>
      <c r="G82" s="74"/>
      <c r="H82" s="175"/>
      <c r="I82" s="73"/>
      <c r="J82" s="862"/>
      <c r="K82" s="620"/>
      <c r="L82" s="621"/>
      <c r="M82" s="622"/>
      <c r="N82" s="8"/>
      <c r="O82" s="788" t="s">
        <v>317</v>
      </c>
      <c r="P82" s="788"/>
      <c r="Q82" s="788"/>
      <c r="R82" s="788"/>
      <c r="S82" s="788"/>
      <c r="T82" s="788"/>
      <c r="U82" s="788"/>
      <c r="V82" s="788"/>
      <c r="W82" s="788"/>
      <c r="X82" s="184" t="b">
        <v>0</v>
      </c>
      <c r="Y82" s="8"/>
      <c r="Z82" s="779"/>
      <c r="AA82" s="780"/>
      <c r="AB82" s="780"/>
      <c r="AC82" s="781"/>
      <c r="AD82" s="74"/>
      <c r="AE82" s="175"/>
      <c r="AF82" s="73"/>
      <c r="AG82" s="823"/>
      <c r="AH82" s="824"/>
      <c r="AI82" s="824"/>
      <c r="AJ82" s="825"/>
      <c r="AK82" s="74"/>
      <c r="AL82" s="202"/>
      <c r="AM82" s="123">
        <f>IF(X82, 1, 0)</f>
        <v>0</v>
      </c>
      <c r="AN82" s="111"/>
      <c r="AO82" s="700"/>
      <c r="AR82" s="124"/>
    </row>
    <row r="83" spans="2:44" ht="19" thickBot="1">
      <c r="B83" s="73"/>
      <c r="C83" s="876"/>
      <c r="D83" s="877"/>
      <c r="E83" s="877"/>
      <c r="F83" s="878"/>
      <c r="G83" s="74"/>
      <c r="H83" s="175"/>
      <c r="I83" s="73"/>
      <c r="J83" s="65"/>
      <c r="K83" s="232"/>
      <c r="L83" s="232"/>
      <c r="M83" s="232"/>
      <c r="N83" s="8"/>
      <c r="O83" s="62"/>
      <c r="P83" s="18"/>
      <c r="Q83" s="62"/>
      <c r="R83" s="18"/>
      <c r="S83" s="62"/>
      <c r="T83" s="18"/>
      <c r="U83" s="62"/>
      <c r="V83" s="18"/>
      <c r="W83" s="62"/>
      <c r="X83" s="25"/>
      <c r="Y83" s="8"/>
      <c r="Z83" s="8"/>
      <c r="AA83" s="8"/>
      <c r="AB83" s="8"/>
      <c r="AC83" s="8"/>
      <c r="AD83" s="74"/>
      <c r="AE83" s="175"/>
      <c r="AF83" s="73"/>
      <c r="AG83" s="823"/>
      <c r="AH83" s="824"/>
      <c r="AI83" s="824"/>
      <c r="AJ83" s="825"/>
      <c r="AK83" s="74"/>
      <c r="AL83" s="202"/>
      <c r="AM83" s="129">
        <f>SUM(AM75:AM82)</f>
        <v>0</v>
      </c>
      <c r="AN83" s="129">
        <f>SUM(AN75:AN82)</f>
        <v>0</v>
      </c>
      <c r="AO83" s="129"/>
    </row>
    <row r="84" spans="2:44" ht="21" thickTop="1">
      <c r="B84" s="73"/>
      <c r="C84" s="879"/>
      <c r="D84" s="880"/>
      <c r="E84" s="880"/>
      <c r="F84" s="881"/>
      <c r="G84" s="74"/>
      <c r="H84" s="175"/>
      <c r="I84" s="73"/>
      <c r="J84" s="789" t="s">
        <v>321</v>
      </c>
      <c r="K84" s="790"/>
      <c r="L84" s="790"/>
      <c r="M84" s="790"/>
      <c r="N84" s="790"/>
      <c r="O84" s="790"/>
      <c r="P84" s="790"/>
      <c r="Q84" s="790"/>
      <c r="R84" s="790"/>
      <c r="S84" s="790"/>
      <c r="T84" s="790"/>
      <c r="U84" s="790"/>
      <c r="V84" s="790"/>
      <c r="W84" s="790"/>
      <c r="X84" s="791"/>
      <c r="Y84" s="8"/>
      <c r="Z84" s="755" t="str">
        <f>ROUND(AO38+AO28+AO19+AO49+AO75,0) &amp;"/25"</f>
        <v>0/25</v>
      </c>
      <c r="AA84" s="756"/>
      <c r="AB84" s="756"/>
      <c r="AC84" s="757"/>
      <c r="AD84" s="74"/>
      <c r="AE84" s="175"/>
      <c r="AF84" s="73"/>
      <c r="AG84" s="826"/>
      <c r="AH84" s="827"/>
      <c r="AI84" s="827"/>
      <c r="AJ84" s="828"/>
      <c r="AK84" s="74"/>
      <c r="AL84" s="202"/>
      <c r="AM84" s="102"/>
      <c r="AN84" s="203"/>
    </row>
    <row r="85" spans="2:44" ht="19" thickBot="1">
      <c r="B85" s="76"/>
      <c r="C85" s="77"/>
      <c r="D85" s="77"/>
      <c r="E85" s="77"/>
      <c r="F85" s="77"/>
      <c r="G85" s="78"/>
      <c r="H85" s="175"/>
      <c r="I85" s="76"/>
      <c r="J85" s="67"/>
      <c r="K85" s="233"/>
      <c r="L85" s="233"/>
      <c r="M85" s="233"/>
      <c r="N85" s="77"/>
      <c r="O85" s="81"/>
      <c r="P85" s="63"/>
      <c r="Q85" s="81"/>
      <c r="R85" s="63"/>
      <c r="S85" s="81"/>
      <c r="T85" s="63"/>
      <c r="U85" s="81"/>
      <c r="V85" s="63"/>
      <c r="W85" s="81"/>
      <c r="X85" s="54"/>
      <c r="Y85" s="77"/>
      <c r="Z85" s="77" t="s">
        <v>452</v>
      </c>
      <c r="AA85" s="77"/>
      <c r="AB85" s="77"/>
      <c r="AC85" s="77"/>
      <c r="AD85" s="78"/>
      <c r="AE85" s="175"/>
      <c r="AF85" s="76"/>
      <c r="AG85" s="77"/>
      <c r="AH85" s="77"/>
      <c r="AI85" s="77"/>
      <c r="AJ85" s="77"/>
      <c r="AK85" s="78"/>
      <c r="AL85" s="202"/>
      <c r="AM85" s="102"/>
      <c r="AN85" s="102"/>
    </row>
    <row r="86" spans="2:44">
      <c r="AM86" s="102"/>
      <c r="AN86" s="102"/>
    </row>
    <row r="87" spans="2:44">
      <c r="AM87" s="102"/>
      <c r="AN87" s="102"/>
    </row>
    <row r="88" spans="2:44">
      <c r="J88" s="137"/>
      <c r="K88" s="235"/>
      <c r="L88" s="235"/>
      <c r="M88" s="236"/>
      <c r="AM88" s="102"/>
      <c r="AN88" s="102"/>
    </row>
    <row r="89" spans="2:44">
      <c r="K89" s="234"/>
      <c r="L89" s="234"/>
      <c r="M89" s="234"/>
      <c r="AM89" s="102"/>
      <c r="AN89" s="102"/>
    </row>
    <row r="90" spans="2:44">
      <c r="K90" s="234"/>
      <c r="L90" s="234"/>
      <c r="M90" s="234"/>
      <c r="AM90" s="102"/>
      <c r="AN90" s="102"/>
    </row>
    <row r="91" spans="2:44">
      <c r="K91" s="234"/>
      <c r="L91" s="234"/>
      <c r="M91" s="234"/>
      <c r="AM91" s="102"/>
      <c r="AN91" s="102"/>
    </row>
    <row r="92" spans="2:44">
      <c r="K92" s="234"/>
      <c r="L92" s="234"/>
      <c r="M92" s="234"/>
      <c r="AM92" s="102"/>
      <c r="AN92" s="102"/>
    </row>
    <row r="93" spans="2:44">
      <c r="K93" s="234"/>
      <c r="L93" s="234"/>
      <c r="M93" s="234"/>
      <c r="AM93" s="102"/>
      <c r="AN93" s="102"/>
    </row>
    <row r="94" spans="2:44">
      <c r="K94" s="234"/>
      <c r="L94" s="234"/>
      <c r="M94" s="234"/>
      <c r="AM94" s="102"/>
      <c r="AN94" s="102"/>
    </row>
    <row r="95" spans="2:44">
      <c r="K95" s="234"/>
      <c r="L95" s="234"/>
      <c r="M95" s="234"/>
      <c r="AM95" s="102"/>
      <c r="AN95" s="102"/>
    </row>
    <row r="96" spans="2:44">
      <c r="K96" s="234"/>
      <c r="L96" s="234"/>
      <c r="M96" s="234"/>
      <c r="AM96" s="102"/>
      <c r="AN96" s="102"/>
    </row>
    <row r="97" spans="5:40">
      <c r="K97" s="234"/>
      <c r="L97" s="234"/>
      <c r="M97" s="234"/>
      <c r="AM97" s="102"/>
      <c r="AN97" s="102"/>
    </row>
    <row r="98" spans="5:40">
      <c r="K98" s="234"/>
      <c r="L98" s="234"/>
      <c r="M98" s="234"/>
      <c r="AM98" s="102"/>
      <c r="AN98" s="102"/>
    </row>
    <row r="99" spans="5:40">
      <c r="AM99" s="102"/>
      <c r="AN99" s="102"/>
    </row>
    <row r="100" spans="5:40">
      <c r="AM100" s="102"/>
      <c r="AN100" s="102"/>
    </row>
    <row r="101" spans="5:40">
      <c r="E101" s="90" t="s">
        <v>452</v>
      </c>
      <c r="AI101" s="90" t="s">
        <v>452</v>
      </c>
      <c r="AM101" s="102"/>
      <c r="AN101" s="102"/>
    </row>
    <row r="102" spans="5:40">
      <c r="AM102" s="102"/>
      <c r="AN102" s="102"/>
    </row>
    <row r="103" spans="5:40">
      <c r="AM103" s="102"/>
      <c r="AN103" s="102"/>
    </row>
    <row r="104" spans="5:40">
      <c r="AM104" s="102"/>
      <c r="AN104" s="102"/>
    </row>
    <row r="105" spans="5:40">
      <c r="AM105" s="102"/>
      <c r="AN105" s="102"/>
    </row>
    <row r="106" spans="5:40">
      <c r="AM106" s="102"/>
      <c r="AN106" s="102"/>
    </row>
    <row r="107" spans="5:40">
      <c r="AM107" s="102"/>
      <c r="AN107" s="102"/>
    </row>
    <row r="108" spans="5:40">
      <c r="AM108" s="102"/>
      <c r="AN108" s="102"/>
    </row>
    <row r="109" spans="5:40">
      <c r="AM109" s="102"/>
      <c r="AN109" s="102"/>
    </row>
    <row r="110" spans="5:40">
      <c r="AM110" s="102"/>
      <c r="AN110" s="102"/>
    </row>
    <row r="111" spans="5:40">
      <c r="AM111" s="102"/>
      <c r="AN111" s="102"/>
    </row>
    <row r="112" spans="5:40">
      <c r="AM112" s="102"/>
      <c r="AN112" s="102"/>
    </row>
    <row r="113" spans="39:40">
      <c r="AM113" s="102"/>
      <c r="AN113" s="102"/>
    </row>
    <row r="114" spans="39:40">
      <c r="AM114" s="102"/>
      <c r="AN114" s="102"/>
    </row>
    <row r="115" spans="39:40">
      <c r="AM115" s="102"/>
      <c r="AN115" s="102"/>
    </row>
    <row r="116" spans="39:40">
      <c r="AM116" s="102"/>
      <c r="AN116" s="102"/>
    </row>
    <row r="117" spans="39:40">
      <c r="AM117" s="91"/>
      <c r="AN117" s="91"/>
    </row>
    <row r="118" spans="39:40">
      <c r="AM118" s="102"/>
      <c r="AN118" s="102"/>
    </row>
    <row r="119" spans="39:40">
      <c r="AM119" s="102"/>
      <c r="AN119" s="102"/>
    </row>
    <row r="120" spans="39:40">
      <c r="AM120" s="102"/>
      <c r="AN120" s="102"/>
    </row>
    <row r="121" spans="39:40">
      <c r="AM121" s="102"/>
      <c r="AN121" s="102"/>
    </row>
    <row r="122" spans="39:40">
      <c r="AM122" s="102"/>
      <c r="AN122" s="102"/>
    </row>
    <row r="123" spans="39:40">
      <c r="AM123" s="102"/>
      <c r="AN123" s="102"/>
    </row>
    <row r="124" spans="39:40">
      <c r="AM124" s="102"/>
      <c r="AN124" s="102"/>
    </row>
  </sheetData>
  <mergeCells count="107">
    <mergeCell ref="C5:F24"/>
    <mergeCell ref="C26:F34"/>
    <mergeCell ref="C36:F46"/>
    <mergeCell ref="C48:F72"/>
    <mergeCell ref="O71:W71"/>
    <mergeCell ref="C74:F84"/>
    <mergeCell ref="AO75:AO82"/>
    <mergeCell ref="O39:W39"/>
    <mergeCell ref="O50:W50"/>
    <mergeCell ref="O58:W58"/>
    <mergeCell ref="Z58:AC63"/>
    <mergeCell ref="AG37:AJ47"/>
    <mergeCell ref="O55:W55"/>
    <mergeCell ref="O62:W62"/>
    <mergeCell ref="AG58:AJ63"/>
    <mergeCell ref="O30:W30"/>
    <mergeCell ref="O75:W75"/>
    <mergeCell ref="O76:W76"/>
    <mergeCell ref="Z75:AC76"/>
    <mergeCell ref="AG75:AJ76"/>
    <mergeCell ref="O70:W70"/>
    <mergeCell ref="AG65:AJ73"/>
    <mergeCell ref="J78:J82"/>
    <mergeCell ref="O82:W82"/>
    <mergeCell ref="J7:J16"/>
    <mergeCell ref="O7:X7"/>
    <mergeCell ref="O13:X13"/>
    <mergeCell ref="J65:J71"/>
    <mergeCell ref="K65:M71"/>
    <mergeCell ref="O65:W65"/>
    <mergeCell ref="O66:W66"/>
    <mergeCell ref="O67:W67"/>
    <mergeCell ref="O68:W68"/>
    <mergeCell ref="O69:W69"/>
    <mergeCell ref="J38:J45"/>
    <mergeCell ref="K38:M45"/>
    <mergeCell ref="O45:W45"/>
    <mergeCell ref="O54:W54"/>
    <mergeCell ref="O61:W61"/>
    <mergeCell ref="O44:W44"/>
    <mergeCell ref="AF2:AK3"/>
    <mergeCell ref="AG19:AJ24"/>
    <mergeCell ref="AG49:AJ56"/>
    <mergeCell ref="I2:AD3"/>
    <mergeCell ref="B2:G3"/>
    <mergeCell ref="J19:J24"/>
    <mergeCell ref="K19:M24"/>
    <mergeCell ref="Z19:AC24"/>
    <mergeCell ref="O19:W19"/>
    <mergeCell ref="O20:W20"/>
    <mergeCell ref="O21:W21"/>
    <mergeCell ref="O23:W23"/>
    <mergeCell ref="O24:W24"/>
    <mergeCell ref="J49:J56"/>
    <mergeCell ref="K49:M56"/>
    <mergeCell ref="O49:W49"/>
    <mergeCell ref="O33:W33"/>
    <mergeCell ref="O22:W22"/>
    <mergeCell ref="K7:M16"/>
    <mergeCell ref="O29:W29"/>
    <mergeCell ref="O31:W31"/>
    <mergeCell ref="O32:W32"/>
    <mergeCell ref="O34:W34"/>
    <mergeCell ref="O38:W38"/>
    <mergeCell ref="J84:X84"/>
    <mergeCell ref="J28:J34"/>
    <mergeCell ref="K28:M34"/>
    <mergeCell ref="O28:W28"/>
    <mergeCell ref="O51:W51"/>
    <mergeCell ref="O52:W52"/>
    <mergeCell ref="O53:W53"/>
    <mergeCell ref="O56:W56"/>
    <mergeCell ref="O40:W40"/>
    <mergeCell ref="O41:W41"/>
    <mergeCell ref="O42:W42"/>
    <mergeCell ref="O43:W43"/>
    <mergeCell ref="K75:M76"/>
    <mergeCell ref="O81:W81"/>
    <mergeCell ref="J75:J76"/>
    <mergeCell ref="O59:W59"/>
    <mergeCell ref="O60:W60"/>
    <mergeCell ref="O63:W63"/>
    <mergeCell ref="J58:J63"/>
    <mergeCell ref="K58:M63"/>
    <mergeCell ref="K78:M82"/>
    <mergeCell ref="O78:W78"/>
    <mergeCell ref="O79:W79"/>
    <mergeCell ref="O80:W80"/>
    <mergeCell ref="AR8:AR10"/>
    <mergeCell ref="AR14:AR16"/>
    <mergeCell ref="AO19:AO24"/>
    <mergeCell ref="AW5:AW6"/>
    <mergeCell ref="AO28:AO34"/>
    <mergeCell ref="AM7:AQ7"/>
    <mergeCell ref="AM13:AQ13"/>
    <mergeCell ref="Z78:AC82"/>
    <mergeCell ref="Z84:AC84"/>
    <mergeCell ref="Z28:AC34"/>
    <mergeCell ref="Z49:AC56"/>
    <mergeCell ref="AG78:AJ84"/>
    <mergeCell ref="Z65:AC71"/>
    <mergeCell ref="Z38:AC45"/>
    <mergeCell ref="AG26:AJ35"/>
    <mergeCell ref="AO49:AO71"/>
    <mergeCell ref="AO38:AO45"/>
    <mergeCell ref="AG5:AJ17"/>
    <mergeCell ref="Z7:AC17"/>
  </mergeCells>
  <conditionalFormatting sqref="O8:P8 O10:P11">
    <cfRule type="expression" dxfId="335" priority="40">
      <formula>$P$9</formula>
    </cfRule>
  </conditionalFormatting>
  <conditionalFormatting sqref="O8:P9 O11:P11">
    <cfRule type="expression" dxfId="334" priority="39">
      <formula>$P$10</formula>
    </cfRule>
  </conditionalFormatting>
  <conditionalFormatting sqref="O8:P10">
    <cfRule type="expression" dxfId="333" priority="38">
      <formula>$P$11</formula>
    </cfRule>
  </conditionalFormatting>
  <conditionalFormatting sqref="O9:P11">
    <cfRule type="expression" dxfId="332" priority="41">
      <formula>$P$8</formula>
    </cfRule>
  </conditionalFormatting>
  <conditionalFormatting sqref="O14:P14 O16:P17">
    <cfRule type="expression" dxfId="331" priority="20">
      <formula>$P$15</formula>
    </cfRule>
  </conditionalFormatting>
  <conditionalFormatting sqref="O14:P15 O17:P17">
    <cfRule type="expression" dxfId="330" priority="19">
      <formula>$P$16</formula>
    </cfRule>
  </conditionalFormatting>
  <conditionalFormatting sqref="O14:P16">
    <cfRule type="expression" dxfId="329" priority="18">
      <formula>$P$17</formula>
    </cfRule>
  </conditionalFormatting>
  <conditionalFormatting sqref="O15:P17">
    <cfRule type="expression" dxfId="328" priority="21">
      <formula>$P$14</formula>
    </cfRule>
  </conditionalFormatting>
  <conditionalFormatting sqref="O19:W19">
    <cfRule type="expression" dxfId="327" priority="438">
      <formula>$X$19</formula>
    </cfRule>
  </conditionalFormatting>
  <conditionalFormatting sqref="O20:W20">
    <cfRule type="expression" dxfId="326" priority="440">
      <formula>$X$20</formula>
    </cfRule>
  </conditionalFormatting>
  <conditionalFormatting sqref="O21:W21">
    <cfRule type="expression" dxfId="325" priority="444">
      <formula>$X$21</formula>
    </cfRule>
  </conditionalFormatting>
  <conditionalFormatting sqref="O22:W22">
    <cfRule type="expression" dxfId="324" priority="213">
      <formula>$X$22</formula>
    </cfRule>
  </conditionalFormatting>
  <conditionalFormatting sqref="O24:W24">
    <cfRule type="expression" dxfId="323" priority="448">
      <formula>$X$24</formula>
    </cfRule>
  </conditionalFormatting>
  <conditionalFormatting sqref="O28:W28">
    <cfRule type="expression" dxfId="322" priority="235">
      <formula>$X$28</formula>
    </cfRule>
  </conditionalFormatting>
  <conditionalFormatting sqref="O29:W29">
    <cfRule type="expression" dxfId="321" priority="234">
      <formula>$X$29</formula>
    </cfRule>
  </conditionalFormatting>
  <conditionalFormatting sqref="O30:W30">
    <cfRule type="expression" dxfId="320" priority="181">
      <formula>$X$30</formula>
    </cfRule>
  </conditionalFormatting>
  <conditionalFormatting sqref="O31:W31">
    <cfRule type="expression" dxfId="319" priority="233">
      <formula>$X$31</formula>
    </cfRule>
  </conditionalFormatting>
  <conditionalFormatting sqref="O32:W32">
    <cfRule type="expression" dxfId="318" priority="232">
      <formula>$X$32</formula>
    </cfRule>
  </conditionalFormatting>
  <conditionalFormatting sqref="O34:W36 O46:W46">
    <cfRule type="expression" dxfId="317" priority="230">
      <formula>$X$34</formula>
    </cfRule>
  </conditionalFormatting>
  <conditionalFormatting sqref="O38:W38">
    <cfRule type="expression" dxfId="316" priority="227">
      <formula>$X$38</formula>
    </cfRule>
  </conditionalFormatting>
  <conditionalFormatting sqref="O39:W39">
    <cfRule type="expression" dxfId="315" priority="207">
      <formula>$X$39</formula>
    </cfRule>
  </conditionalFormatting>
  <conditionalFormatting sqref="O40:W40">
    <cfRule type="expression" dxfId="314" priority="226">
      <formula>$X$40</formula>
    </cfRule>
  </conditionalFormatting>
  <conditionalFormatting sqref="O41:W41">
    <cfRule type="expression" dxfId="313" priority="225">
      <formula>$X$41</formula>
    </cfRule>
  </conditionalFormatting>
  <conditionalFormatting sqref="O42:W42">
    <cfRule type="expression" dxfId="312" priority="224">
      <formula>$X$42</formula>
    </cfRule>
  </conditionalFormatting>
  <conditionalFormatting sqref="O43:W43">
    <cfRule type="expression" dxfId="311" priority="223">
      <formula>$X$43</formula>
    </cfRule>
  </conditionalFormatting>
  <conditionalFormatting sqref="O49:W49">
    <cfRule type="expression" dxfId="310" priority="69">
      <formula>$X$49</formula>
    </cfRule>
  </conditionalFormatting>
  <conditionalFormatting sqref="O50:W50">
    <cfRule type="expression" dxfId="309" priority="68">
      <formula>$X$50</formula>
    </cfRule>
  </conditionalFormatting>
  <conditionalFormatting sqref="O51:W51">
    <cfRule type="expression" dxfId="308" priority="67">
      <formula>$X$51</formula>
    </cfRule>
  </conditionalFormatting>
  <conditionalFormatting sqref="O52:W52">
    <cfRule type="expression" dxfId="307" priority="66">
      <formula>$X$52</formula>
    </cfRule>
  </conditionalFormatting>
  <conditionalFormatting sqref="O53:W53">
    <cfRule type="expression" dxfId="306" priority="65">
      <formula>$X$53</formula>
    </cfRule>
  </conditionalFormatting>
  <conditionalFormatting sqref="O56:W56">
    <cfRule type="expression" dxfId="305" priority="458">
      <formula>$X$56</formula>
    </cfRule>
  </conditionalFormatting>
  <conditionalFormatting sqref="O58:W58">
    <cfRule type="expression" dxfId="304" priority="60">
      <formula>$X$58</formula>
    </cfRule>
  </conditionalFormatting>
  <conditionalFormatting sqref="O59:W59">
    <cfRule type="expression" dxfId="303" priority="59">
      <formula>$X$59</formula>
    </cfRule>
  </conditionalFormatting>
  <conditionalFormatting sqref="O60:W60">
    <cfRule type="expression" dxfId="302" priority="58">
      <formula>$X$60</formula>
    </cfRule>
  </conditionalFormatting>
  <conditionalFormatting sqref="O63:W63">
    <cfRule type="expression" dxfId="301" priority="206">
      <formula>#REF!</formula>
    </cfRule>
    <cfRule type="expression" dxfId="300" priority="178">
      <formula>$X$63</formula>
    </cfRule>
  </conditionalFormatting>
  <conditionalFormatting sqref="O65:W65">
    <cfRule type="expression" dxfId="299" priority="175">
      <formula>$X$65</formula>
    </cfRule>
  </conditionalFormatting>
  <conditionalFormatting sqref="O65:W69">
    <cfRule type="expression" dxfId="298" priority="193">
      <formula>#REF!</formula>
    </cfRule>
  </conditionalFormatting>
  <conditionalFormatting sqref="O66:W66">
    <cfRule type="expression" dxfId="297" priority="174">
      <formula>$X$66</formula>
    </cfRule>
  </conditionalFormatting>
  <conditionalFormatting sqref="O67:W67">
    <cfRule type="expression" dxfId="296" priority="173">
      <formula>$X$67</formula>
    </cfRule>
  </conditionalFormatting>
  <conditionalFormatting sqref="O68:W68">
    <cfRule type="expression" dxfId="295" priority="172">
      <formula>$X$68</formula>
    </cfRule>
  </conditionalFormatting>
  <conditionalFormatting sqref="O69:W69">
    <cfRule type="expression" dxfId="294" priority="171">
      <formula>$X$69</formula>
    </cfRule>
  </conditionalFormatting>
  <conditionalFormatting sqref="O71:W71">
    <cfRule type="expression" dxfId="293" priority="198">
      <formula>#REF!</formula>
    </cfRule>
    <cfRule type="expression" dxfId="292" priority="176">
      <formula>$X$71</formula>
    </cfRule>
  </conditionalFormatting>
  <conditionalFormatting sqref="O78:W78">
    <cfRule type="expression" dxfId="291" priority="163">
      <formula>$X$78</formula>
    </cfRule>
  </conditionalFormatting>
  <conditionalFormatting sqref="O79:W79">
    <cfRule type="expression" dxfId="290" priority="162">
      <formula>$X$79</formula>
    </cfRule>
  </conditionalFormatting>
  <conditionalFormatting sqref="O80:W80">
    <cfRule type="expression" dxfId="289" priority="161">
      <formula>$X$80</formula>
    </cfRule>
  </conditionalFormatting>
  <conditionalFormatting sqref="O82:W82">
    <cfRule type="expression" dxfId="288" priority="160">
      <formula>$X$82</formula>
    </cfRule>
  </conditionalFormatting>
  <conditionalFormatting sqref="O19:X22">
    <cfRule type="expression" dxfId="287" priority="151">
      <formula>$X$23</formula>
    </cfRule>
  </conditionalFormatting>
  <conditionalFormatting sqref="O28:X32">
    <cfRule type="expression" dxfId="286" priority="152">
      <formula>$X$33</formula>
    </cfRule>
  </conditionalFormatting>
  <conditionalFormatting sqref="O38:X43 O45:X45">
    <cfRule type="expression" dxfId="285" priority="53">
      <formula>$X$44</formula>
    </cfRule>
  </conditionalFormatting>
  <conditionalFormatting sqref="O38:X44">
    <cfRule type="expression" dxfId="284" priority="153">
      <formula>$X$45</formula>
    </cfRule>
  </conditionalFormatting>
  <conditionalFormatting sqref="O49:X53 O55:X55">
    <cfRule type="expression" dxfId="283" priority="64">
      <formula>$X$54</formula>
    </cfRule>
  </conditionalFormatting>
  <conditionalFormatting sqref="O49:X54">
    <cfRule type="expression" dxfId="282" priority="63">
      <formula>$X$55</formula>
    </cfRule>
  </conditionalFormatting>
  <conditionalFormatting sqref="O58:X60 O62:X62">
    <cfRule type="expression" dxfId="281" priority="54">
      <formula>$X$61</formula>
    </cfRule>
  </conditionalFormatting>
  <conditionalFormatting sqref="O58:X61">
    <cfRule type="expression" dxfId="280" priority="55">
      <formula>$X$62</formula>
    </cfRule>
  </conditionalFormatting>
  <conditionalFormatting sqref="O65:X69">
    <cfRule type="expression" dxfId="279" priority="147">
      <formula>$X$70</formula>
    </cfRule>
  </conditionalFormatting>
  <conditionalFormatting sqref="O75:X75">
    <cfRule type="expression" dxfId="278" priority="164">
      <formula>$X$76</formula>
    </cfRule>
  </conditionalFormatting>
  <conditionalFormatting sqref="O76:X76">
    <cfRule type="expression" dxfId="277" priority="165">
      <formula>$X$75</formula>
    </cfRule>
  </conditionalFormatting>
  <conditionalFormatting sqref="O78:X80">
    <cfRule type="expression" dxfId="276" priority="144">
      <formula>$X$81</formula>
    </cfRule>
  </conditionalFormatting>
  <conditionalFormatting sqref="Q8:R8 Q10:R11">
    <cfRule type="expression" dxfId="275" priority="36">
      <formula>$R$9</formula>
    </cfRule>
  </conditionalFormatting>
  <conditionalFormatting sqref="Q8:R9 Q11:R11">
    <cfRule type="expression" dxfId="274" priority="35">
      <formula>$R$10</formula>
    </cfRule>
  </conditionalFormatting>
  <conditionalFormatting sqref="Q8:R10">
    <cfRule type="expression" dxfId="273" priority="34">
      <formula>$R$11</formula>
    </cfRule>
  </conditionalFormatting>
  <conditionalFormatting sqref="Q9:R11">
    <cfRule type="expression" dxfId="272" priority="37">
      <formula>$R$8</formula>
    </cfRule>
  </conditionalFormatting>
  <conditionalFormatting sqref="Q14:R14 Q16:R17">
    <cfRule type="expression" dxfId="271" priority="16">
      <formula>$R$15</formula>
    </cfRule>
  </conditionalFormatting>
  <conditionalFormatting sqref="Q14:R15 Q17:R17">
    <cfRule type="expression" dxfId="270" priority="15">
      <formula>$R$16</formula>
    </cfRule>
  </conditionalFormatting>
  <conditionalFormatting sqref="Q14:R16">
    <cfRule type="expression" dxfId="269" priority="14">
      <formula>$R$17</formula>
    </cfRule>
  </conditionalFormatting>
  <conditionalFormatting sqref="Q15:R17">
    <cfRule type="expression" dxfId="268" priority="17">
      <formula>$R$14</formula>
    </cfRule>
  </conditionalFormatting>
  <conditionalFormatting sqref="S8:T8 S10:T11">
    <cfRule type="expression" dxfId="267" priority="32">
      <formula>$T$9</formula>
    </cfRule>
  </conditionalFormatting>
  <conditionalFormatting sqref="S8:T9 S11:T11">
    <cfRule type="expression" dxfId="266" priority="31">
      <formula>$T$10</formula>
    </cfRule>
  </conditionalFormatting>
  <conditionalFormatting sqref="S8:T10">
    <cfRule type="expression" dxfId="265" priority="30">
      <formula>$T$11</formula>
    </cfRule>
  </conditionalFormatting>
  <conditionalFormatting sqref="S9:T11">
    <cfRule type="expression" dxfId="264" priority="33">
      <formula>$T$8</formula>
    </cfRule>
  </conditionalFormatting>
  <conditionalFormatting sqref="S14:T14 S16:T17">
    <cfRule type="expression" dxfId="263" priority="12">
      <formula>$T$15</formula>
    </cfRule>
  </conditionalFormatting>
  <conditionalFormatting sqref="S14:T15 S17:T17">
    <cfRule type="expression" dxfId="262" priority="11">
      <formula>$T$16</formula>
    </cfRule>
  </conditionalFormatting>
  <conditionalFormatting sqref="S14:T16">
    <cfRule type="expression" dxfId="261" priority="10">
      <formula>$T$17</formula>
    </cfRule>
  </conditionalFormatting>
  <conditionalFormatting sqref="S15:T17">
    <cfRule type="expression" dxfId="260" priority="13">
      <formula>$T$14</formula>
    </cfRule>
  </conditionalFormatting>
  <conditionalFormatting sqref="U8:V8 U10:V11">
    <cfRule type="expression" dxfId="259" priority="28">
      <formula>$V$9</formula>
    </cfRule>
  </conditionalFormatting>
  <conditionalFormatting sqref="U8:V9 U11:V11">
    <cfRule type="expression" dxfId="258" priority="27">
      <formula>$V$10</formula>
    </cfRule>
  </conditionalFormatting>
  <conditionalFormatting sqref="U8:V10">
    <cfRule type="expression" dxfId="257" priority="26">
      <formula>$V$11</formula>
    </cfRule>
  </conditionalFormatting>
  <conditionalFormatting sqref="U9:V11">
    <cfRule type="expression" dxfId="256" priority="29">
      <formula>$V$8</formula>
    </cfRule>
  </conditionalFormatting>
  <conditionalFormatting sqref="U14:V14 U16:V17">
    <cfRule type="expression" dxfId="255" priority="8">
      <formula>$V$15</formula>
    </cfRule>
  </conditionalFormatting>
  <conditionalFormatting sqref="U14:V15 U17:V17">
    <cfRule type="expression" dxfId="254" priority="6">
      <formula>$V$16</formula>
    </cfRule>
  </conditionalFormatting>
  <conditionalFormatting sqref="U14:V16">
    <cfRule type="expression" dxfId="253" priority="5">
      <formula>$V$17</formula>
    </cfRule>
  </conditionalFormatting>
  <conditionalFormatting sqref="U15:V17">
    <cfRule type="expression" dxfId="252" priority="9">
      <formula>$V$14</formula>
    </cfRule>
  </conditionalFormatting>
  <conditionalFormatting sqref="W8:X8 W10:X11">
    <cfRule type="expression" dxfId="251" priority="24">
      <formula>$X$9</formula>
    </cfRule>
  </conditionalFormatting>
  <conditionalFormatting sqref="W8:X9 W11:X11">
    <cfRule type="expression" dxfId="250" priority="23">
      <formula>$X$10</formula>
    </cfRule>
  </conditionalFormatting>
  <conditionalFormatting sqref="W8:X10">
    <cfRule type="expression" dxfId="249" priority="22">
      <formula>$X$11</formula>
    </cfRule>
  </conditionalFormatting>
  <conditionalFormatting sqref="W9:X11">
    <cfRule type="expression" dxfId="248" priority="25">
      <formula>$X$8</formula>
    </cfRule>
  </conditionalFormatting>
  <conditionalFormatting sqref="W14:X14 W16:X17">
    <cfRule type="expression" dxfId="247" priority="3">
      <formula>$X$15</formula>
    </cfRule>
  </conditionalFormatting>
  <conditionalFormatting sqref="W14:X15 W17:X17">
    <cfRule type="expression" dxfId="246" priority="2">
      <formula>$X$16</formula>
    </cfRule>
  </conditionalFormatting>
  <conditionalFormatting sqref="W14:X16">
    <cfRule type="expression" dxfId="245" priority="1">
      <formula>$X$17</formula>
    </cfRule>
  </conditionalFormatting>
  <conditionalFormatting sqref="W15:X17">
    <cfRule type="expression" dxfId="244" priority="4">
      <formula>$X$14</formula>
    </cfRule>
  </conditionalFormatting>
  <conditionalFormatting sqref="Z19:AC24">
    <cfRule type="expression" dxfId="243" priority="518">
      <formula>$X$24</formula>
    </cfRule>
  </conditionalFormatting>
  <conditionalFormatting sqref="Z28:AC34">
    <cfRule type="expression" dxfId="242" priority="229">
      <formula>$X$34</formula>
    </cfRule>
  </conditionalFormatting>
  <conditionalFormatting sqref="Z49:AC56">
    <cfRule type="expression" dxfId="241" priority="269">
      <formula>$X$56</formula>
    </cfRule>
  </conditionalFormatting>
  <conditionalFormatting sqref="Z58:AC63">
    <cfRule type="expression" dxfId="240" priority="177">
      <formula>$X$63</formula>
    </cfRule>
    <cfRule type="expression" dxfId="239" priority="260">
      <formula>#REF!</formula>
    </cfRule>
  </conditionalFormatting>
  <conditionalFormatting sqref="Z65:AC71">
    <cfRule type="expression" dxfId="238" priority="192">
      <formula>#REF!</formula>
    </cfRule>
    <cfRule type="expression" dxfId="237" priority="179">
      <formula>$X$71</formula>
    </cfRule>
  </conditionalFormatting>
  <conditionalFormatting sqref="Z78:AC82">
    <cfRule type="expression" dxfId="236" priority="159">
      <formula>$X$82</formula>
    </cfRule>
  </conditionalFormatting>
  <conditionalFormatting sqref="AG5">
    <cfRule type="expression" dxfId="235" priority="97">
      <formula>$AM$5</formula>
    </cfRule>
    <cfRule type="expression" dxfId="234" priority="96">
      <formula>$AM$5=2</formula>
    </cfRule>
    <cfRule type="expression" dxfId="233" priority="95">
      <formula>$AN$5=2</formula>
    </cfRule>
    <cfRule type="expression" dxfId="232" priority="94">
      <formula>$AN$5=1</formula>
    </cfRule>
    <cfRule type="expression" dxfId="231" priority="93">
      <formula>$AM$5=1</formula>
    </cfRule>
  </conditionalFormatting>
  <conditionalFormatting sqref="AG26">
    <cfRule type="expression" dxfId="230" priority="157">
      <formula>$X$33</formula>
    </cfRule>
  </conditionalFormatting>
  <conditionalFormatting sqref="AG37">
    <cfRule type="expression" dxfId="229" priority="156">
      <formula>$X$45</formula>
    </cfRule>
  </conditionalFormatting>
  <conditionalFormatting sqref="AG19:AJ24">
    <cfRule type="expression" dxfId="228" priority="90">
      <formula>$AM$21</formula>
    </cfRule>
    <cfRule type="expression" dxfId="227" priority="89">
      <formula>SUM($AM$19:$AM$21)=3</formula>
    </cfRule>
    <cfRule type="expression" dxfId="226" priority="91">
      <formula>$AM$20</formula>
    </cfRule>
    <cfRule type="expression" dxfId="225" priority="92">
      <formula>$AM$19</formula>
    </cfRule>
    <cfRule type="expression" dxfId="224" priority="158">
      <formula>$X$23</formula>
    </cfRule>
  </conditionalFormatting>
  <conditionalFormatting sqref="AG26:AJ35">
    <cfRule type="expression" dxfId="223" priority="87">
      <formula>$AM$29</formula>
    </cfRule>
    <cfRule type="expression" dxfId="222" priority="86">
      <formula>$AM$30</formula>
    </cfRule>
    <cfRule type="expression" dxfId="221" priority="88">
      <formula>$AM$28</formula>
    </cfRule>
    <cfRule type="expression" dxfId="220" priority="85">
      <formula>$AM$31</formula>
    </cfRule>
    <cfRule type="expression" dxfId="219" priority="84">
      <formula>SUM($AM$28:$AM$31)=4</formula>
    </cfRule>
  </conditionalFormatting>
  <conditionalFormatting sqref="AG37:AJ47">
    <cfRule type="expression" dxfId="218" priority="52">
      <formula>$X$44</formula>
    </cfRule>
  </conditionalFormatting>
  <conditionalFormatting sqref="AG49:AJ56">
    <cfRule type="expression" dxfId="217" priority="61">
      <formula>$X$54</formula>
    </cfRule>
    <cfRule type="expression" dxfId="216" priority="62">
      <formula>$X$55</formula>
    </cfRule>
  </conditionalFormatting>
  <conditionalFormatting sqref="AG58:AJ63">
    <cfRule type="expression" dxfId="215" priority="148">
      <formula>$X$62</formula>
    </cfRule>
    <cfRule type="expression" dxfId="214" priority="80">
      <formula>SUM($AM$58:$AM$60)=3</formula>
    </cfRule>
    <cfRule type="expression" dxfId="213" priority="56">
      <formula>$X$61</formula>
    </cfRule>
    <cfRule type="expression" dxfId="212" priority="83">
      <formula>$AM$58</formula>
    </cfRule>
    <cfRule type="expression" dxfId="211" priority="81">
      <formula>$AM$60</formula>
    </cfRule>
    <cfRule type="expression" dxfId="210" priority="82">
      <formula>$AM$59</formula>
    </cfRule>
  </conditionalFormatting>
  <conditionalFormatting sqref="AG65:AJ73">
    <cfRule type="expression" dxfId="209" priority="76">
      <formula>$AM$68</formula>
    </cfRule>
    <cfRule type="expression" dxfId="208" priority="75">
      <formula>$AM$69</formula>
    </cfRule>
    <cfRule type="expression" dxfId="207" priority="74">
      <formula>SUM($AM$65:$AM$69)=5</formula>
    </cfRule>
    <cfRule type="expression" dxfId="206" priority="77">
      <formula>$AM$67</formula>
    </cfRule>
    <cfRule type="expression" dxfId="205" priority="78">
      <formula>$AM$66</formula>
    </cfRule>
    <cfRule type="expression" dxfId="204" priority="79">
      <formula>$AM$65</formula>
    </cfRule>
    <cfRule type="expression" dxfId="203" priority="146">
      <formula>$X$70</formula>
    </cfRule>
  </conditionalFormatting>
  <conditionalFormatting sqref="AG75:AJ76">
    <cfRule type="expression" dxfId="202" priority="155">
      <formula>$X$76</formula>
    </cfRule>
  </conditionalFormatting>
  <conditionalFormatting sqref="AG78:AJ84">
    <cfRule type="expression" dxfId="201" priority="73">
      <formula>$X$78</formula>
    </cfRule>
    <cfRule type="expression" dxfId="200" priority="72">
      <formula>$AM$79</formula>
    </cfRule>
    <cfRule type="expression" dxfId="199" priority="71">
      <formula>$AM$80</formula>
    </cfRule>
    <cfRule type="expression" priority="70">
      <formula>SUM($AM$78:$AM$80)=3</formula>
    </cfRule>
    <cfRule type="expression" dxfId="198" priority="145">
      <formula>$X$81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48D8-677A-4D75-9D24-1298F3C079AE}">
  <sheetPr codeName="Sheet2"/>
  <dimension ref="B2:G99"/>
  <sheetViews>
    <sheetView workbookViewId="0"/>
  </sheetViews>
  <sheetFormatPr baseColWidth="10" defaultColWidth="8.6640625" defaultRowHeight="16"/>
  <cols>
    <col min="1" max="1" width="5" style="18" customWidth="1"/>
    <col min="2" max="2" width="84.1640625" style="18" customWidth="1"/>
    <col min="3" max="3" width="24.6640625" style="18" bestFit="1" customWidth="1"/>
    <col min="4" max="4" width="42.1640625" style="18" bestFit="1" customWidth="1"/>
    <col min="5" max="5" width="26.5" style="18" bestFit="1" customWidth="1"/>
    <col min="6" max="6" width="25.83203125" style="18" bestFit="1" customWidth="1"/>
    <col min="7" max="7" width="22" style="18" bestFit="1" customWidth="1"/>
    <col min="8" max="8" width="27.83203125" style="18" bestFit="1" customWidth="1"/>
    <col min="9" max="9" width="8.6640625" style="18"/>
    <col min="10" max="10" width="33.33203125" style="18" bestFit="1" customWidth="1"/>
    <col min="11" max="11" width="8.6640625" style="18"/>
    <col min="12" max="12" width="41.1640625" style="18" bestFit="1" customWidth="1"/>
    <col min="13" max="16384" width="8.6640625" style="18"/>
  </cols>
  <sheetData>
    <row r="2" spans="2:4">
      <c r="B2" s="29" t="s">
        <v>78</v>
      </c>
    </row>
    <row r="3" spans="2:4" ht="34">
      <c r="B3" s="11" t="s">
        <v>443</v>
      </c>
      <c r="D3" s="25"/>
    </row>
    <row r="4" spans="2:4" ht="17">
      <c r="B4" s="11" t="s">
        <v>444</v>
      </c>
    </row>
    <row r="5" spans="2:4" ht="34">
      <c r="B5" s="11" t="s">
        <v>445</v>
      </c>
    </row>
    <row r="6" spans="2:4" ht="34">
      <c r="B6" s="11" t="s">
        <v>446</v>
      </c>
    </row>
    <row r="7" spans="2:4" ht="34">
      <c r="B7" s="11" t="s">
        <v>447</v>
      </c>
    </row>
    <row r="8" spans="2:4" ht="34">
      <c r="B8" s="11" t="s">
        <v>448</v>
      </c>
    </row>
    <row r="9" spans="2:4" ht="34">
      <c r="B9" s="11" t="s">
        <v>449</v>
      </c>
    </row>
    <row r="10" spans="2:4" ht="17">
      <c r="B10" s="89" t="s">
        <v>185</v>
      </c>
    </row>
    <row r="11" spans="2:4">
      <c r="B11" s="29"/>
    </row>
    <row r="12" spans="2:4">
      <c r="B12" s="29" t="s">
        <v>79</v>
      </c>
    </row>
    <row r="13" spans="2:4" ht="17">
      <c r="B13" s="11" t="s">
        <v>2</v>
      </c>
    </row>
    <row r="14" spans="2:4" ht="17">
      <c r="B14" s="11" t="s">
        <v>9</v>
      </c>
    </row>
    <row r="15" spans="2:4" ht="17">
      <c r="B15" s="11" t="s">
        <v>10</v>
      </c>
    </row>
    <row r="16" spans="2:4" ht="17">
      <c r="B16" s="11" t="s">
        <v>11</v>
      </c>
    </row>
    <row r="17" spans="2:3" ht="17">
      <c r="B17" s="11" t="s">
        <v>12</v>
      </c>
    </row>
    <row r="19" spans="2:3">
      <c r="B19" s="29" t="s">
        <v>105</v>
      </c>
      <c r="C19" s="29" t="s">
        <v>106</v>
      </c>
    </row>
    <row r="20" spans="2:3">
      <c r="B20" s="18" t="s">
        <v>107</v>
      </c>
      <c r="C20" s="18" t="s">
        <v>108</v>
      </c>
    </row>
    <row r="21" spans="2:3">
      <c r="B21" s="18" t="s">
        <v>109</v>
      </c>
      <c r="C21" s="18" t="s">
        <v>110</v>
      </c>
    </row>
    <row r="22" spans="2:3">
      <c r="B22" s="18" t="s">
        <v>111</v>
      </c>
      <c r="C22" s="18" t="s">
        <v>112</v>
      </c>
    </row>
    <row r="23" spans="2:3">
      <c r="B23" s="18" t="s">
        <v>113</v>
      </c>
      <c r="C23" s="18" t="s">
        <v>114</v>
      </c>
    </row>
    <row r="24" spans="2:3">
      <c r="B24" s="18" t="s">
        <v>115</v>
      </c>
      <c r="C24" s="18" t="s">
        <v>116</v>
      </c>
    </row>
    <row r="25" spans="2:3">
      <c r="B25" s="18" t="s">
        <v>117</v>
      </c>
      <c r="C25" s="18" t="s">
        <v>118</v>
      </c>
    </row>
    <row r="26" spans="2:3">
      <c r="B26" s="18" t="s">
        <v>119</v>
      </c>
      <c r="C26" s="18" t="s">
        <v>120</v>
      </c>
    </row>
    <row r="27" spans="2:3">
      <c r="B27" s="18" t="s">
        <v>121</v>
      </c>
      <c r="C27" s="18" t="s">
        <v>122</v>
      </c>
    </row>
    <row r="28" spans="2:3">
      <c r="B28" s="18" t="s">
        <v>123</v>
      </c>
      <c r="C28" s="18" t="s">
        <v>124</v>
      </c>
    </row>
    <row r="29" spans="2:3">
      <c r="B29" s="18" t="s">
        <v>125</v>
      </c>
      <c r="C29" s="18" t="s">
        <v>126</v>
      </c>
    </row>
    <row r="30" spans="2:3">
      <c r="B30" s="18" t="s">
        <v>127</v>
      </c>
      <c r="C30" s="18" t="s">
        <v>128</v>
      </c>
    </row>
    <row r="31" spans="2:3">
      <c r="B31" s="18" t="s">
        <v>129</v>
      </c>
      <c r="C31" s="18" t="s">
        <v>130</v>
      </c>
    </row>
    <row r="32" spans="2:3">
      <c r="B32" s="18" t="s">
        <v>131</v>
      </c>
      <c r="C32" s="18" t="s">
        <v>132</v>
      </c>
    </row>
    <row r="33" spans="2:3">
      <c r="B33" s="18" t="s">
        <v>133</v>
      </c>
      <c r="C33" s="18" t="s">
        <v>134</v>
      </c>
    </row>
    <row r="34" spans="2:3">
      <c r="B34" s="18" t="s">
        <v>135</v>
      </c>
      <c r="C34" s="18" t="s">
        <v>136</v>
      </c>
    </row>
    <row r="35" spans="2:3">
      <c r="B35" s="18" t="s">
        <v>137</v>
      </c>
      <c r="C35" s="18" t="s">
        <v>138</v>
      </c>
    </row>
    <row r="36" spans="2:3">
      <c r="B36" s="18" t="s">
        <v>139</v>
      </c>
      <c r="C36" s="18" t="s">
        <v>140</v>
      </c>
    </row>
    <row r="37" spans="2:3">
      <c r="B37" s="18" t="s">
        <v>141</v>
      </c>
      <c r="C37" s="18" t="s">
        <v>142</v>
      </c>
    </row>
    <row r="38" spans="2:3">
      <c r="B38" s="18" t="s">
        <v>143</v>
      </c>
      <c r="C38" s="18" t="s">
        <v>144</v>
      </c>
    </row>
    <row r="39" spans="2:3">
      <c r="B39" s="18" t="s">
        <v>145</v>
      </c>
      <c r="C39" s="18" t="s">
        <v>146</v>
      </c>
    </row>
    <row r="40" spans="2:3">
      <c r="B40" s="18" t="s">
        <v>147</v>
      </c>
      <c r="C40" s="18" t="s">
        <v>148</v>
      </c>
    </row>
    <row r="41" spans="2:3">
      <c r="B41" s="18" t="s">
        <v>149</v>
      </c>
      <c r="C41" s="18" t="s">
        <v>150</v>
      </c>
    </row>
    <row r="42" spans="2:3">
      <c r="B42" s="18" t="s">
        <v>151</v>
      </c>
      <c r="C42" s="18" t="s">
        <v>152</v>
      </c>
    </row>
    <row r="43" spans="2:3">
      <c r="B43" s="18" t="s">
        <v>153</v>
      </c>
      <c r="C43" s="18" t="s">
        <v>154</v>
      </c>
    </row>
    <row r="44" spans="2:3">
      <c r="B44" s="18" t="s">
        <v>155</v>
      </c>
      <c r="C44" s="18" t="s">
        <v>156</v>
      </c>
    </row>
    <row r="45" spans="2:3">
      <c r="B45" s="18" t="s">
        <v>157</v>
      </c>
      <c r="C45" s="18" t="s">
        <v>158</v>
      </c>
    </row>
    <row r="46" spans="2:3">
      <c r="B46" s="18" t="s">
        <v>159</v>
      </c>
      <c r="C46" s="18" t="s">
        <v>160</v>
      </c>
    </row>
    <row r="47" spans="2:3">
      <c r="B47" s="18" t="s">
        <v>161</v>
      </c>
      <c r="C47" s="18" t="s">
        <v>162</v>
      </c>
    </row>
    <row r="48" spans="2:3">
      <c r="B48" s="18" t="s">
        <v>163</v>
      </c>
      <c r="C48" s="18" t="s">
        <v>164</v>
      </c>
    </row>
    <row r="49" spans="2:7">
      <c r="B49" s="18" t="s">
        <v>165</v>
      </c>
      <c r="C49" s="18" t="s">
        <v>166</v>
      </c>
    </row>
    <row r="50" spans="2:7">
      <c r="B50" s="18" t="s">
        <v>167</v>
      </c>
      <c r="C50" s="18" t="s">
        <v>168</v>
      </c>
    </row>
    <row r="51" spans="2:7">
      <c r="B51" s="18" t="s">
        <v>169</v>
      </c>
      <c r="C51" s="18" t="s">
        <v>170</v>
      </c>
    </row>
    <row r="52" spans="2:7">
      <c r="B52" s="18" t="s">
        <v>171</v>
      </c>
      <c r="C52" s="18" t="s">
        <v>172</v>
      </c>
    </row>
    <row r="53" spans="2:7">
      <c r="B53" s="18" t="s">
        <v>173</v>
      </c>
      <c r="C53" s="18" t="s">
        <v>174</v>
      </c>
    </row>
    <row r="54" spans="2:7">
      <c r="B54" s="18" t="s">
        <v>175</v>
      </c>
      <c r="C54" s="18" t="s">
        <v>176</v>
      </c>
    </row>
    <row r="55" spans="2:7">
      <c r="B55" s="18" t="s">
        <v>177</v>
      </c>
      <c r="C55" s="18" t="s">
        <v>178</v>
      </c>
    </row>
    <row r="56" spans="2:7">
      <c r="B56" s="18" t="s">
        <v>179</v>
      </c>
      <c r="C56" s="18" t="s">
        <v>180</v>
      </c>
    </row>
    <row r="57" spans="2:7">
      <c r="B57" s="18" t="s">
        <v>181</v>
      </c>
      <c r="C57" s="18" t="s">
        <v>182</v>
      </c>
    </row>
    <row r="58" spans="2:7">
      <c r="B58" s="18" t="s">
        <v>183</v>
      </c>
      <c r="C58" s="18" t="s">
        <v>184</v>
      </c>
    </row>
    <row r="60" spans="2:7">
      <c r="B60" s="88" t="s">
        <v>319</v>
      </c>
      <c r="C60" s="88" t="s">
        <v>320</v>
      </c>
      <c r="D60" s="18" t="s">
        <v>839</v>
      </c>
      <c r="E60" s="18" t="s">
        <v>840</v>
      </c>
    </row>
    <row r="61" spans="2:7">
      <c r="B61" s="18" t="s">
        <v>483</v>
      </c>
      <c r="C61" s="18" t="s">
        <v>483</v>
      </c>
      <c r="D61" s="18" t="e" cm="1">
        <f t="array" aca="1" ref="D61" ca="1">_xlfn.LET(
    _xlpm.startMatch, MATCH(Milestone_1!$P$103, DropdownORNamemanagerLists!$B$62:$B$99, 0),
    _xlpm.endMatch, MATCH(Milestone_1!$R$103-1, DropdownORNamemanagerLists!$B$62:$B$99, 1),
    _xlpm.yearList, OFFSET(DropdownORNamemanagerLists!$B$62, _xlpm.startMatch-1, 0, _xlpm.endMatch-_xlpm.startMatch+1, 1),
    _xlfn.VSTACK({"Not under consideration"}, _xlpm.yearList)
)</f>
        <v>#N/A</v>
      </c>
      <c r="E61" s="18" t="e" cm="1">
        <f t="array" aca="1" ref="E61" ca="1">_xlfn.LET(
    _xlpm.startMatch, MATCH(Milestone_1!$P$103+1, DropdownORNamemanagerLists!$C$62:$C$99, 0),
    _xlpm.endMatch, MATCH(Milestone_1!$R$103, DropdownORNamemanagerLists!$C$62:$C$99, 1),
    _xlpm.yearList, OFFSET(DropdownORNamemanagerLists!$C$62, _xlpm.startMatch-1, 0, _xlpm.endMatch-_xlpm.startMatch+1, 1),
    _xlfn.VSTACK({"Not under consideration"}, _xlpm.yearList)
)</f>
        <v>#N/A</v>
      </c>
    </row>
    <row r="62" spans="2:7">
      <c r="B62" s="18">
        <v>2012</v>
      </c>
      <c r="C62" s="18">
        <v>2013</v>
      </c>
      <c r="G62" s="18" t="s">
        <v>841</v>
      </c>
    </row>
    <row r="63" spans="2:7">
      <c r="B63" s="18">
        <v>2013</v>
      </c>
      <c r="C63" s="18">
        <v>2014</v>
      </c>
    </row>
    <row r="64" spans="2:7">
      <c r="B64" s="18">
        <v>2014</v>
      </c>
      <c r="C64" s="18">
        <v>2015</v>
      </c>
    </row>
    <row r="65" spans="2:3">
      <c r="B65" s="18">
        <v>2015</v>
      </c>
      <c r="C65" s="18">
        <v>2016</v>
      </c>
    </row>
    <row r="66" spans="2:3">
      <c r="B66" s="18">
        <v>2016</v>
      </c>
      <c r="C66" s="18">
        <v>2017</v>
      </c>
    </row>
    <row r="67" spans="2:3">
      <c r="B67" s="18">
        <v>2017</v>
      </c>
      <c r="C67" s="18">
        <v>2018</v>
      </c>
    </row>
    <row r="68" spans="2:3">
      <c r="B68" s="18">
        <v>2018</v>
      </c>
      <c r="C68" s="18">
        <v>2019</v>
      </c>
    </row>
    <row r="69" spans="2:3">
      <c r="B69" s="18">
        <v>2019</v>
      </c>
      <c r="C69" s="18">
        <v>2020</v>
      </c>
    </row>
    <row r="70" spans="2:3">
      <c r="B70" s="18">
        <v>2020</v>
      </c>
      <c r="C70" s="18">
        <v>2021</v>
      </c>
    </row>
    <row r="71" spans="2:3">
      <c r="B71" s="18">
        <v>2021</v>
      </c>
      <c r="C71" s="18">
        <v>2022</v>
      </c>
    </row>
    <row r="72" spans="2:3">
      <c r="B72" s="18">
        <v>2022</v>
      </c>
      <c r="C72" s="18">
        <v>2023</v>
      </c>
    </row>
    <row r="73" spans="2:3">
      <c r="B73" s="18">
        <v>2023</v>
      </c>
      <c r="C73" s="18">
        <v>2024</v>
      </c>
    </row>
    <row r="74" spans="2:3">
      <c r="B74" s="18">
        <v>2024</v>
      </c>
      <c r="C74" s="18">
        <v>2025</v>
      </c>
    </row>
    <row r="75" spans="2:3">
      <c r="B75" s="18">
        <v>2025</v>
      </c>
      <c r="C75" s="18">
        <v>2026</v>
      </c>
    </row>
    <row r="76" spans="2:3">
      <c r="B76" s="18">
        <v>2026</v>
      </c>
      <c r="C76" s="18">
        <v>2027</v>
      </c>
    </row>
    <row r="77" spans="2:3">
      <c r="B77" s="18">
        <v>2027</v>
      </c>
      <c r="C77" s="18">
        <v>2028</v>
      </c>
    </row>
    <row r="78" spans="2:3">
      <c r="B78" s="18">
        <v>2028</v>
      </c>
      <c r="C78" s="18">
        <v>2029</v>
      </c>
    </row>
    <row r="79" spans="2:3">
      <c r="B79" s="18">
        <v>2029</v>
      </c>
      <c r="C79" s="18">
        <v>2030</v>
      </c>
    </row>
    <row r="80" spans="2:3">
      <c r="B80" s="18">
        <v>2030</v>
      </c>
      <c r="C80" s="18">
        <v>2031</v>
      </c>
    </row>
    <row r="81" spans="2:3">
      <c r="B81" s="18">
        <v>2031</v>
      </c>
      <c r="C81" s="18">
        <v>2032</v>
      </c>
    </row>
    <row r="82" spans="2:3">
      <c r="B82" s="18">
        <v>2032</v>
      </c>
      <c r="C82" s="18">
        <v>2033</v>
      </c>
    </row>
    <row r="83" spans="2:3">
      <c r="B83" s="18">
        <v>2033</v>
      </c>
      <c r="C83" s="18">
        <v>2034</v>
      </c>
    </row>
    <row r="84" spans="2:3">
      <c r="B84" s="18">
        <v>2034</v>
      </c>
      <c r="C84" s="18">
        <v>2035</v>
      </c>
    </row>
    <row r="85" spans="2:3">
      <c r="B85" s="18">
        <v>2035</v>
      </c>
      <c r="C85" s="18">
        <v>2036</v>
      </c>
    </row>
    <row r="86" spans="2:3">
      <c r="B86" s="18">
        <v>2036</v>
      </c>
      <c r="C86" s="18">
        <v>2037</v>
      </c>
    </row>
    <row r="87" spans="2:3">
      <c r="B87" s="18">
        <v>2037</v>
      </c>
      <c r="C87" s="18">
        <v>2038</v>
      </c>
    </row>
    <row r="88" spans="2:3">
      <c r="B88" s="18">
        <v>2038</v>
      </c>
      <c r="C88" s="18">
        <v>2039</v>
      </c>
    </row>
    <row r="89" spans="2:3">
      <c r="B89" s="18">
        <v>2039</v>
      </c>
      <c r="C89" s="18">
        <v>2040</v>
      </c>
    </row>
    <row r="90" spans="2:3">
      <c r="B90" s="18">
        <v>2040</v>
      </c>
      <c r="C90" s="18">
        <v>2041</v>
      </c>
    </row>
    <row r="91" spans="2:3">
      <c r="B91" s="18">
        <v>2041</v>
      </c>
      <c r="C91" s="18">
        <v>2042</v>
      </c>
    </row>
    <row r="92" spans="2:3">
      <c r="B92" s="18">
        <v>2042</v>
      </c>
      <c r="C92" s="18">
        <v>2043</v>
      </c>
    </row>
    <row r="93" spans="2:3">
      <c r="B93" s="18">
        <v>2043</v>
      </c>
      <c r="C93" s="18">
        <v>2044</v>
      </c>
    </row>
    <row r="94" spans="2:3">
      <c r="B94" s="18">
        <v>2044</v>
      </c>
      <c r="C94" s="18">
        <v>2045</v>
      </c>
    </row>
    <row r="95" spans="2:3">
      <c r="B95" s="18">
        <v>2045</v>
      </c>
      <c r="C95" s="18">
        <v>2046</v>
      </c>
    </row>
    <row r="96" spans="2:3">
      <c r="B96" s="18">
        <v>2046</v>
      </c>
      <c r="C96" s="18">
        <v>2047</v>
      </c>
    </row>
    <row r="97" spans="2:3">
      <c r="B97" s="18">
        <v>2047</v>
      </c>
      <c r="C97" s="18">
        <v>2048</v>
      </c>
    </row>
    <row r="98" spans="2:3">
      <c r="B98" s="18">
        <v>2048</v>
      </c>
      <c r="C98" s="18">
        <v>2049</v>
      </c>
    </row>
    <row r="99" spans="2:3">
      <c r="B99" s="18">
        <v>2049</v>
      </c>
      <c r="C99" s="18">
        <v>2050</v>
      </c>
    </row>
  </sheetData>
  <phoneticPr fontId="6"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0BEE-9F50-4D5A-A141-DC26FB1025E5}">
  <sheetPr codeName="Sheet14">
    <tabColor theme="6" tint="0.39997558519241921"/>
  </sheetPr>
  <dimension ref="A1:AV126"/>
  <sheetViews>
    <sheetView showGridLines="0" topLeftCell="I119" zoomScale="70" zoomScaleNormal="70" workbookViewId="0">
      <selection activeCell="O12" sqref="O12:R12"/>
    </sheetView>
  </sheetViews>
  <sheetFormatPr baseColWidth="10" defaultColWidth="8.6640625" defaultRowHeight="18"/>
  <cols>
    <col min="1" max="1" width="3.33203125" style="7" customWidth="1"/>
    <col min="2" max="2" width="3.5" style="7" customWidth="1"/>
    <col min="3" max="6" width="6.1640625" style="7" customWidth="1"/>
    <col min="7" max="7" width="3.33203125" style="7" customWidth="1"/>
    <col min="8" max="8" width="3.1640625" style="7" customWidth="1"/>
    <col min="9" max="9" width="3.33203125" style="7" customWidth="1"/>
    <col min="10" max="10" width="11" style="130" bestFit="1" customWidth="1"/>
    <col min="11" max="13" width="17.83203125" style="231" customWidth="1"/>
    <col min="14" max="14" width="3.1640625" style="7" customWidth="1"/>
    <col min="15" max="15" width="69.1640625" style="91" customWidth="1"/>
    <col min="16" max="16" width="20.5" style="131" bestFit="1" customWidth="1"/>
    <col min="17" max="17" width="48.6640625" style="131" bestFit="1" customWidth="1"/>
    <col min="18" max="18" width="11.33203125" style="131" bestFit="1" customWidth="1"/>
    <col min="19" max="19" width="3.1640625" style="7" customWidth="1"/>
    <col min="20" max="23" width="5.33203125" style="91" customWidth="1"/>
    <col min="24" max="26" width="3.1640625" style="7" customWidth="1"/>
    <col min="27" max="30" width="22.1640625" style="322" customWidth="1"/>
    <col min="31" max="31" width="3.33203125" style="7" customWidth="1"/>
    <col min="32" max="32" width="8.6640625" style="7"/>
    <col min="33" max="33" width="18.5" style="102" bestFit="1" customWidth="1"/>
    <col min="34" max="34" width="17" style="102" bestFit="1" customWidth="1"/>
    <col min="35" max="35" width="21" style="102" bestFit="1" customWidth="1"/>
    <col min="36" max="36" width="9.1640625" style="103" customWidth="1"/>
    <col min="37" max="37" width="8.33203125" style="102" bestFit="1" customWidth="1"/>
    <col min="38" max="38" width="16.5" style="124" bestFit="1" customWidth="1"/>
    <col min="39" max="39" width="13.6640625" style="97" bestFit="1" customWidth="1"/>
    <col min="40" max="40" width="12.83203125" style="97" customWidth="1"/>
    <col min="41" max="41" width="8.6640625" style="103"/>
    <col min="42" max="16384" width="8.6640625" style="7"/>
  </cols>
  <sheetData>
    <row r="1" spans="2:48" ht="19" thickBot="1"/>
    <row r="2" spans="2:48" ht="16" customHeight="1">
      <c r="B2" s="908" t="s">
        <v>81</v>
      </c>
      <c r="C2" s="909"/>
      <c r="D2" s="909"/>
      <c r="E2" s="909"/>
      <c r="F2" s="909"/>
      <c r="G2" s="910"/>
      <c r="H2" s="176"/>
      <c r="I2" s="908" t="s">
        <v>322</v>
      </c>
      <c r="J2" s="909"/>
      <c r="K2" s="909"/>
      <c r="L2" s="909"/>
      <c r="M2" s="909"/>
      <c r="N2" s="909"/>
      <c r="O2" s="909"/>
      <c r="P2" s="909"/>
      <c r="Q2" s="909"/>
      <c r="R2" s="909"/>
      <c r="S2" s="909"/>
      <c r="T2" s="909"/>
      <c r="U2" s="909"/>
      <c r="V2" s="909"/>
      <c r="W2" s="909"/>
      <c r="X2" s="910"/>
      <c r="Y2" s="176"/>
      <c r="Z2" s="908" t="s">
        <v>454</v>
      </c>
      <c r="AA2" s="909"/>
      <c r="AB2" s="909"/>
      <c r="AC2" s="909"/>
      <c r="AD2" s="909"/>
      <c r="AE2" s="910"/>
      <c r="AF2" s="142"/>
      <c r="AG2" s="416" t="s">
        <v>959</v>
      </c>
    </row>
    <row r="3" spans="2:48" ht="16" customHeight="1" thickBot="1">
      <c r="B3" s="911"/>
      <c r="C3" s="912"/>
      <c r="D3" s="912"/>
      <c r="E3" s="912"/>
      <c r="F3" s="912"/>
      <c r="G3" s="913"/>
      <c r="H3" s="176"/>
      <c r="I3" s="911"/>
      <c r="J3" s="912"/>
      <c r="K3" s="912"/>
      <c r="L3" s="912"/>
      <c r="M3" s="912"/>
      <c r="N3" s="912"/>
      <c r="O3" s="912"/>
      <c r="P3" s="912"/>
      <c r="Q3" s="912"/>
      <c r="R3" s="912"/>
      <c r="S3" s="912"/>
      <c r="T3" s="912"/>
      <c r="U3" s="912"/>
      <c r="V3" s="912"/>
      <c r="W3" s="912"/>
      <c r="X3" s="913"/>
      <c r="Y3" s="176"/>
      <c r="Z3" s="911"/>
      <c r="AA3" s="912"/>
      <c r="AB3" s="912"/>
      <c r="AC3" s="912"/>
      <c r="AD3" s="912"/>
      <c r="AE3" s="913"/>
      <c r="AF3" s="142"/>
      <c r="AG3" s="417">
        <f>Milestone_1!O103</f>
        <v>0</v>
      </c>
    </row>
    <row r="4" spans="2:48">
      <c r="B4" s="2"/>
      <c r="C4" s="1"/>
      <c r="D4" s="1"/>
      <c r="E4" s="1"/>
      <c r="F4" s="1"/>
      <c r="G4" s="3"/>
      <c r="H4" s="176"/>
      <c r="I4" s="2"/>
      <c r="J4" s="56"/>
      <c r="K4" s="224"/>
      <c r="L4" s="224"/>
      <c r="M4" s="224"/>
      <c r="N4" s="1"/>
      <c r="O4" s="17"/>
      <c r="P4" s="25"/>
      <c r="Q4" s="25"/>
      <c r="R4" s="25"/>
      <c r="S4" s="1"/>
      <c r="T4" s="17"/>
      <c r="U4" s="17"/>
      <c r="V4" s="17"/>
      <c r="W4" s="17"/>
      <c r="X4" s="3"/>
      <c r="Y4" s="176"/>
      <c r="Z4" s="2"/>
      <c r="AA4" s="323"/>
      <c r="AB4" s="323"/>
      <c r="AC4" s="323"/>
      <c r="AD4" s="323"/>
      <c r="AE4" s="3"/>
      <c r="AF4" s="143"/>
    </row>
    <row r="5" spans="2:48">
      <c r="B5" s="2"/>
      <c r="C5" s="930"/>
      <c r="D5" s="931"/>
      <c r="E5" s="931"/>
      <c r="F5" s="932"/>
      <c r="G5" s="3"/>
      <c r="H5" s="176"/>
      <c r="I5" s="2"/>
      <c r="J5" s="28" t="s">
        <v>16</v>
      </c>
      <c r="K5" s="225" t="s">
        <v>357</v>
      </c>
      <c r="L5" s="224"/>
      <c r="M5" s="224"/>
      <c r="N5" s="1"/>
      <c r="O5" s="17"/>
      <c r="P5" s="25"/>
      <c r="Q5" s="25"/>
      <c r="R5" s="25"/>
      <c r="S5" s="1"/>
      <c r="T5" s="17"/>
      <c r="U5" s="17"/>
      <c r="V5" s="17"/>
      <c r="W5" s="17"/>
      <c r="X5" s="3"/>
      <c r="Y5" s="176"/>
      <c r="Z5" s="2"/>
      <c r="AA5" s="323"/>
      <c r="AB5" s="323"/>
      <c r="AC5" s="323"/>
      <c r="AD5" s="323"/>
      <c r="AE5" s="3"/>
      <c r="AF5" s="143"/>
      <c r="AG5" s="178" t="s">
        <v>440</v>
      </c>
      <c r="AH5" s="179" t="s">
        <v>17</v>
      </c>
      <c r="AI5" s="179" t="s">
        <v>502</v>
      </c>
      <c r="AK5" s="109" t="s">
        <v>434</v>
      </c>
      <c r="AL5" s="345" t="s">
        <v>435</v>
      </c>
      <c r="AM5" s="109" t="s">
        <v>435</v>
      </c>
      <c r="AN5" s="691" t="s">
        <v>505</v>
      </c>
    </row>
    <row r="6" spans="2:48">
      <c r="B6" s="2"/>
      <c r="C6" s="933"/>
      <c r="D6" s="934"/>
      <c r="E6" s="934"/>
      <c r="F6" s="935"/>
      <c r="G6" s="3"/>
      <c r="H6" s="176"/>
      <c r="I6" s="2"/>
      <c r="J6" s="56"/>
      <c r="K6" s="224"/>
      <c r="L6" s="224"/>
      <c r="M6" s="224"/>
      <c r="N6" s="1"/>
      <c r="O6" s="17"/>
      <c r="P6" s="25"/>
      <c r="Q6" s="25"/>
      <c r="R6" s="25"/>
      <c r="S6" s="1"/>
      <c r="T6" s="17"/>
      <c r="U6" s="17"/>
      <c r="V6" s="17"/>
      <c r="W6" s="17"/>
      <c r="X6" s="3"/>
      <c r="Y6" s="176"/>
      <c r="Z6" s="2"/>
      <c r="AA6" s="323"/>
      <c r="AB6" s="323"/>
      <c r="AC6" s="323"/>
      <c r="AD6" s="323"/>
      <c r="AE6" s="3"/>
      <c r="AF6" s="143"/>
      <c r="AG6" s="110"/>
      <c r="AH6" s="111"/>
      <c r="AI6" s="111"/>
      <c r="AK6" s="188"/>
      <c r="AL6" s="346" t="s">
        <v>503</v>
      </c>
      <c r="AM6" s="188" t="s">
        <v>504</v>
      </c>
      <c r="AN6" s="691"/>
    </row>
    <row r="7" spans="2:48" ht="31.5" customHeight="1">
      <c r="B7" s="2"/>
      <c r="C7" s="933"/>
      <c r="D7" s="934"/>
      <c r="E7" s="934"/>
      <c r="F7" s="935"/>
      <c r="G7" s="3"/>
      <c r="H7" s="176"/>
      <c r="I7" s="2"/>
      <c r="J7" s="858">
        <v>1.1000000000000001</v>
      </c>
      <c r="K7" s="859" t="s">
        <v>682</v>
      </c>
      <c r="L7" s="859"/>
      <c r="M7" s="859"/>
      <c r="N7" s="1"/>
      <c r="O7" s="914" t="s">
        <v>453</v>
      </c>
      <c r="P7" s="915"/>
      <c r="Q7" s="916"/>
      <c r="R7" s="134" t="b">
        <v>0</v>
      </c>
      <c r="S7" s="1"/>
      <c r="T7" s="720" t="s">
        <v>80</v>
      </c>
      <c r="U7" s="720"/>
      <c r="V7" s="720"/>
      <c r="W7" s="720"/>
      <c r="X7" s="3"/>
      <c r="Y7" s="176"/>
      <c r="Z7" s="2"/>
      <c r="AA7" s="837" t="str">
        <f>IF(OR(AG9,AG8,AG10),Feedback_List!B62, " ")</f>
        <v xml:space="preserve"> </v>
      </c>
      <c r="AB7" s="838"/>
      <c r="AC7" s="838"/>
      <c r="AD7" s="839"/>
      <c r="AE7" s="3"/>
      <c r="AF7" s="143"/>
      <c r="AG7" s="185">
        <f t="shared" ref="AG7:AG10" si="0">IF(R7, 1, 0)</f>
        <v>0</v>
      </c>
      <c r="AH7" s="186">
        <f>IF(AG7,7,IF(AG8,5,IF(AG9,3,IF(AG10,0,0))))</f>
        <v>0</v>
      </c>
      <c r="AI7" s="846">
        <f>SUM(AH7:AH20)*AN7</f>
        <v>0</v>
      </c>
      <c r="AK7" s="114">
        <v>1</v>
      </c>
      <c r="AL7" s="347">
        <v>7</v>
      </c>
      <c r="AM7" s="114">
        <v>5</v>
      </c>
      <c r="AN7" s="206">
        <f>AM7/AL7</f>
        <v>0.7142857142857143</v>
      </c>
    </row>
    <row r="8" spans="2:48" ht="31.5" customHeight="1">
      <c r="B8" s="2"/>
      <c r="C8" s="933"/>
      <c r="D8" s="934"/>
      <c r="E8" s="934"/>
      <c r="F8" s="935"/>
      <c r="G8" s="3"/>
      <c r="H8" s="176"/>
      <c r="I8" s="2"/>
      <c r="J8" s="858"/>
      <c r="K8" s="859"/>
      <c r="L8" s="859"/>
      <c r="M8" s="859"/>
      <c r="N8" s="1"/>
      <c r="O8" s="695" t="s">
        <v>358</v>
      </c>
      <c r="P8" s="696"/>
      <c r="Q8" s="697"/>
      <c r="R8" s="134" t="b">
        <v>0</v>
      </c>
      <c r="S8" s="1"/>
      <c r="T8" s="720"/>
      <c r="U8" s="720"/>
      <c r="V8" s="720"/>
      <c r="W8" s="720"/>
      <c r="X8" s="3"/>
      <c r="Y8" s="176"/>
      <c r="Z8" s="2"/>
      <c r="AA8" s="840"/>
      <c r="AB8" s="841"/>
      <c r="AC8" s="841"/>
      <c r="AD8" s="842"/>
      <c r="AE8" s="3"/>
      <c r="AF8" s="143"/>
      <c r="AG8" s="123">
        <f t="shared" si="0"/>
        <v>0</v>
      </c>
      <c r="AH8" s="122"/>
      <c r="AI8" s="847"/>
      <c r="AK8" s="114">
        <v>2</v>
      </c>
      <c r="AL8" s="347">
        <v>58</v>
      </c>
      <c r="AM8" s="187">
        <v>4</v>
      </c>
      <c r="AN8" s="206">
        <f>AM8/AL8</f>
        <v>6.8965517241379309E-2</v>
      </c>
    </row>
    <row r="9" spans="2:48" ht="31.5" customHeight="1">
      <c r="B9" s="2"/>
      <c r="C9" s="933"/>
      <c r="D9" s="934"/>
      <c r="E9" s="934"/>
      <c r="F9" s="935"/>
      <c r="G9" s="3"/>
      <c r="H9" s="176"/>
      <c r="I9" s="2"/>
      <c r="J9" s="858"/>
      <c r="K9" s="859"/>
      <c r="L9" s="859"/>
      <c r="M9" s="859"/>
      <c r="N9" s="1"/>
      <c r="O9" s="695" t="s">
        <v>359</v>
      </c>
      <c r="P9" s="696"/>
      <c r="Q9" s="697"/>
      <c r="R9" s="134" t="b">
        <v>0</v>
      </c>
      <c r="S9" s="1"/>
      <c r="T9" s="720"/>
      <c r="U9" s="720"/>
      <c r="V9" s="720"/>
      <c r="W9" s="720"/>
      <c r="X9" s="3"/>
      <c r="Y9" s="176"/>
      <c r="Z9" s="2"/>
      <c r="AA9" s="840"/>
      <c r="AB9" s="841"/>
      <c r="AC9" s="841"/>
      <c r="AD9" s="842"/>
      <c r="AE9" s="3"/>
      <c r="AF9" s="143"/>
      <c r="AG9" s="123">
        <f>IF(R9, 1, 0)</f>
        <v>0</v>
      </c>
      <c r="AH9" s="122"/>
      <c r="AI9" s="847"/>
      <c r="AK9" s="114">
        <v>3</v>
      </c>
      <c r="AL9" s="347">
        <v>25</v>
      </c>
      <c r="AM9" s="114">
        <v>4</v>
      </c>
      <c r="AN9" s="206">
        <f>AM9/AL9</f>
        <v>0.16</v>
      </c>
    </row>
    <row r="10" spans="2:48" ht="31.5" customHeight="1">
      <c r="B10" s="2"/>
      <c r="C10" s="933"/>
      <c r="D10" s="934"/>
      <c r="E10" s="934"/>
      <c r="F10" s="935"/>
      <c r="G10" s="3"/>
      <c r="H10" s="176"/>
      <c r="I10" s="2"/>
      <c r="J10" s="858"/>
      <c r="K10" s="859"/>
      <c r="L10" s="859"/>
      <c r="M10" s="859"/>
      <c r="N10" s="1"/>
      <c r="O10" s="695" t="s">
        <v>360</v>
      </c>
      <c r="P10" s="696"/>
      <c r="Q10" s="697"/>
      <c r="R10" s="134" t="b">
        <v>0</v>
      </c>
      <c r="S10" s="1"/>
      <c r="T10" s="720"/>
      <c r="U10" s="720"/>
      <c r="V10" s="720"/>
      <c r="W10" s="720"/>
      <c r="X10" s="3"/>
      <c r="Y10" s="176"/>
      <c r="Z10" s="2"/>
      <c r="AA10" s="843"/>
      <c r="AB10" s="844"/>
      <c r="AC10" s="844"/>
      <c r="AD10" s="845"/>
      <c r="AE10" s="3"/>
      <c r="AF10" s="143"/>
      <c r="AG10" s="123">
        <f t="shared" si="0"/>
        <v>0</v>
      </c>
      <c r="AH10" s="256"/>
      <c r="AI10" s="847"/>
      <c r="AJ10" s="102"/>
      <c r="AK10" s="114">
        <v>4</v>
      </c>
      <c r="AL10" s="347">
        <v>10</v>
      </c>
      <c r="AM10" s="114">
        <v>2</v>
      </c>
      <c r="AN10" s="206">
        <f>AM10/AL10</f>
        <v>0.2</v>
      </c>
    </row>
    <row r="11" spans="2:48" s="90" customFormat="1">
      <c r="B11" s="73"/>
      <c r="C11" s="933"/>
      <c r="D11" s="934"/>
      <c r="E11" s="934"/>
      <c r="F11" s="935"/>
      <c r="G11" s="74"/>
      <c r="H11" s="175"/>
      <c r="I11" s="73"/>
      <c r="J11" s="65"/>
      <c r="K11" s="232"/>
      <c r="L11" s="232"/>
      <c r="M11" s="232"/>
      <c r="N11" s="8"/>
      <c r="O11" s="62"/>
      <c r="P11" s="18"/>
      <c r="Q11" s="18"/>
      <c r="R11" s="18"/>
      <c r="S11" s="18"/>
      <c r="T11" s="62"/>
      <c r="U11" s="18"/>
      <c r="V11" s="62"/>
      <c r="W11" s="62"/>
      <c r="X11" s="257"/>
      <c r="Y11" s="176"/>
      <c r="Z11" s="73"/>
      <c r="AA11" s="324"/>
      <c r="AB11" s="324"/>
      <c r="AC11" s="324"/>
      <c r="AD11" s="324"/>
      <c r="AE11" s="74"/>
      <c r="AF11" s="143"/>
      <c r="AG11" s="123"/>
      <c r="AH11" s="256"/>
      <c r="AI11" s="847"/>
      <c r="AJ11" s="102"/>
      <c r="AK11" s="264" t="s">
        <v>596</v>
      </c>
      <c r="AL11" s="348">
        <f>SUM(AL7:AL10)</f>
        <v>100</v>
      </c>
      <c r="AM11" s="264">
        <f>SUM(AM7:AM10)</f>
        <v>15</v>
      </c>
      <c r="AN11" s="102"/>
      <c r="AO11" s="102"/>
      <c r="AP11" s="117"/>
      <c r="AQ11" s="103"/>
      <c r="AR11" s="102"/>
      <c r="AS11" s="102"/>
      <c r="AT11" s="97"/>
      <c r="AU11" s="97"/>
      <c r="AV11" s="103"/>
    </row>
    <row r="12" spans="2:48" s="90" customFormat="1" ht="17.5" customHeight="1" thickBot="1">
      <c r="B12" s="73"/>
      <c r="C12" s="933"/>
      <c r="D12" s="934"/>
      <c r="E12" s="934"/>
      <c r="F12" s="935"/>
      <c r="G12" s="74"/>
      <c r="H12" s="175"/>
      <c r="I12" s="73"/>
      <c r="J12" s="768">
        <v>1.2</v>
      </c>
      <c r="K12" s="794" t="s">
        <v>648</v>
      </c>
      <c r="L12" s="794"/>
      <c r="M12" s="795"/>
      <c r="N12" s="8"/>
      <c r="O12" s="253" t="s">
        <v>847</v>
      </c>
      <c r="P12" s="254" t="s">
        <v>593</v>
      </c>
      <c r="Q12" s="254" t="s">
        <v>319</v>
      </c>
      <c r="R12" s="255" t="s">
        <v>320</v>
      </c>
      <c r="S12" s="269"/>
      <c r="T12" s="773" t="s">
        <v>80</v>
      </c>
      <c r="U12" s="774"/>
      <c r="V12" s="774"/>
      <c r="W12" s="775"/>
      <c r="X12" s="257"/>
      <c r="Y12" s="176"/>
      <c r="Z12" s="73"/>
      <c r="AA12" s="882"/>
      <c r="AB12" s="883"/>
      <c r="AC12" s="883"/>
      <c r="AD12" s="884"/>
      <c r="AE12" s="74"/>
      <c r="AF12" s="143"/>
      <c r="AG12" s="123"/>
      <c r="AH12" s="256"/>
      <c r="AI12" s="847"/>
      <c r="AJ12" s="102"/>
      <c r="AK12" s="102"/>
      <c r="AL12" s="124"/>
      <c r="AM12" s="103"/>
      <c r="AN12" s="102"/>
      <c r="AO12" s="102"/>
      <c r="AP12" s="117"/>
      <c r="AQ12" s="103"/>
      <c r="AR12" s="102"/>
      <c r="AS12" s="102"/>
      <c r="AT12" s="97"/>
      <c r="AU12" s="97"/>
      <c r="AV12" s="103"/>
    </row>
    <row r="13" spans="2:48" s="90" customFormat="1" ht="17.5" customHeight="1" thickTop="1">
      <c r="B13" s="73"/>
      <c r="C13" s="933"/>
      <c r="D13" s="934"/>
      <c r="E13" s="934"/>
      <c r="F13" s="935"/>
      <c r="G13" s="74"/>
      <c r="H13" s="175"/>
      <c r="I13" s="73"/>
      <c r="J13" s="769"/>
      <c r="K13" s="797"/>
      <c r="L13" s="797"/>
      <c r="M13" s="798"/>
      <c r="N13" s="8"/>
      <c r="O13" s="252" t="s">
        <v>314</v>
      </c>
      <c r="P13" s="279"/>
      <c r="Q13" s="75"/>
      <c r="R13" s="75"/>
      <c r="S13" s="270"/>
      <c r="T13" s="776"/>
      <c r="U13" s="777"/>
      <c r="V13" s="777"/>
      <c r="W13" s="778"/>
      <c r="X13" s="257"/>
      <c r="Y13" s="176"/>
      <c r="Z13" s="73"/>
      <c r="AA13" s="885"/>
      <c r="AB13" s="886"/>
      <c r="AC13" s="886"/>
      <c r="AD13" s="887"/>
      <c r="AE13" s="74"/>
      <c r="AF13" s="143"/>
      <c r="AG13" s="123">
        <f t="shared" ref="AG13:AG20" si="1">IF(AND(Q13&lt;&gt;0, R13&lt;&gt;0), 1, 0)</f>
        <v>0</v>
      </c>
      <c r="AH13" s="122"/>
      <c r="AI13" s="847"/>
      <c r="AJ13" s="102"/>
      <c r="AK13" s="102"/>
      <c r="AL13" s="124"/>
      <c r="AM13" s="103"/>
      <c r="AN13" s="102"/>
      <c r="AO13" s="102"/>
      <c r="AP13" s="907"/>
      <c r="AQ13" s="103"/>
      <c r="AR13" s="102"/>
      <c r="AS13" s="102"/>
      <c r="AT13" s="97"/>
      <c r="AU13" s="97"/>
      <c r="AV13" s="103"/>
    </row>
    <row r="14" spans="2:48" s="90" customFormat="1" ht="17.5" customHeight="1">
      <c r="B14" s="73"/>
      <c r="C14" s="933"/>
      <c r="D14" s="934"/>
      <c r="E14" s="934"/>
      <c r="F14" s="935"/>
      <c r="G14" s="74"/>
      <c r="H14" s="175"/>
      <c r="I14" s="73"/>
      <c r="J14" s="769"/>
      <c r="K14" s="797"/>
      <c r="L14" s="797"/>
      <c r="M14" s="798"/>
      <c r="N14" s="8"/>
      <c r="O14" s="251" t="s">
        <v>315</v>
      </c>
      <c r="P14" s="261"/>
      <c r="Q14" s="75"/>
      <c r="R14" s="75"/>
      <c r="S14" s="270"/>
      <c r="T14" s="776"/>
      <c r="U14" s="777"/>
      <c r="V14" s="777"/>
      <c r="W14" s="778"/>
      <c r="X14" s="257"/>
      <c r="Y14" s="176"/>
      <c r="Z14" s="73"/>
      <c r="AA14" s="885"/>
      <c r="AB14" s="886"/>
      <c r="AC14" s="886"/>
      <c r="AD14" s="887"/>
      <c r="AE14" s="74"/>
      <c r="AF14" s="143"/>
      <c r="AG14" s="123">
        <f t="shared" si="1"/>
        <v>0</v>
      </c>
      <c r="AH14" s="122"/>
      <c r="AI14" s="847"/>
      <c r="AJ14" s="102"/>
      <c r="AK14" s="102"/>
      <c r="AL14" s="124"/>
      <c r="AM14" s="103"/>
      <c r="AN14" s="102"/>
      <c r="AO14" s="102"/>
      <c r="AP14" s="907"/>
      <c r="AQ14" s="103"/>
      <c r="AR14" s="102"/>
      <c r="AS14" s="102"/>
      <c r="AT14" s="97"/>
      <c r="AU14" s="97"/>
      <c r="AV14" s="103"/>
    </row>
    <row r="15" spans="2:48" s="90" customFormat="1" ht="17.5" customHeight="1">
      <c r="B15" s="73"/>
      <c r="C15" s="933"/>
      <c r="D15" s="934"/>
      <c r="E15" s="934"/>
      <c r="F15" s="935"/>
      <c r="G15" s="74"/>
      <c r="H15" s="175"/>
      <c r="I15" s="73"/>
      <c r="J15" s="769"/>
      <c r="K15" s="797"/>
      <c r="L15" s="797"/>
      <c r="M15" s="798"/>
      <c r="N15" s="8"/>
      <c r="O15" s="251" t="s">
        <v>1157</v>
      </c>
      <c r="P15" s="261"/>
      <c r="Q15" s="75"/>
      <c r="R15" s="75"/>
      <c r="S15" s="270"/>
      <c r="T15" s="776"/>
      <c r="U15" s="777"/>
      <c r="V15" s="777"/>
      <c r="W15" s="778"/>
      <c r="X15" s="257"/>
      <c r="Y15" s="176"/>
      <c r="Z15" s="73"/>
      <c r="AA15" s="885"/>
      <c r="AB15" s="886"/>
      <c r="AC15" s="886"/>
      <c r="AD15" s="887"/>
      <c r="AE15" s="74"/>
      <c r="AF15" s="143"/>
      <c r="AG15" s="123"/>
      <c r="AH15" s="122"/>
      <c r="AI15" s="847"/>
      <c r="AJ15" s="102"/>
      <c r="AK15" s="102"/>
      <c r="AL15" s="124"/>
      <c r="AM15" s="103"/>
      <c r="AN15" s="102"/>
      <c r="AO15" s="102"/>
      <c r="AP15" s="907"/>
      <c r="AQ15" s="103"/>
      <c r="AR15" s="102"/>
      <c r="AS15" s="102"/>
      <c r="AT15" s="97"/>
      <c r="AU15" s="97"/>
      <c r="AV15" s="103"/>
    </row>
    <row r="16" spans="2:48" s="90" customFormat="1" ht="17.5" customHeight="1">
      <c r="B16" s="73"/>
      <c r="C16" s="933"/>
      <c r="D16" s="934"/>
      <c r="E16" s="934"/>
      <c r="F16" s="935"/>
      <c r="G16" s="74"/>
      <c r="H16" s="175"/>
      <c r="I16" s="73"/>
      <c r="J16" s="769"/>
      <c r="K16" s="797"/>
      <c r="L16" s="797"/>
      <c r="M16" s="798"/>
      <c r="N16" s="8"/>
      <c r="O16" s="251" t="s">
        <v>1156</v>
      </c>
      <c r="P16" s="261"/>
      <c r="Q16" s="75"/>
      <c r="R16" s="75"/>
      <c r="S16" s="270"/>
      <c r="T16" s="776"/>
      <c r="U16" s="777"/>
      <c r="V16" s="777"/>
      <c r="W16" s="778"/>
      <c r="X16" s="257"/>
      <c r="Y16" s="176"/>
      <c r="Z16" s="73"/>
      <c r="AA16" s="885"/>
      <c r="AB16" s="886"/>
      <c r="AC16" s="886"/>
      <c r="AD16" s="887"/>
      <c r="AE16" s="74"/>
      <c r="AF16" s="143"/>
      <c r="AG16" s="123">
        <f t="shared" si="1"/>
        <v>0</v>
      </c>
      <c r="AH16" s="122"/>
      <c r="AI16" s="847"/>
      <c r="AJ16" s="102"/>
      <c r="AK16" s="102"/>
      <c r="AL16" s="124"/>
      <c r="AM16" s="103"/>
      <c r="AN16" s="102"/>
      <c r="AO16" s="102"/>
      <c r="AP16" s="907"/>
      <c r="AQ16" s="103"/>
      <c r="AR16" s="102"/>
      <c r="AS16" s="102"/>
      <c r="AT16" s="97"/>
      <c r="AU16" s="97"/>
      <c r="AV16" s="103"/>
    </row>
    <row r="17" spans="1:48" s="90" customFormat="1" ht="17.5" customHeight="1">
      <c r="B17" s="73"/>
      <c r="C17" s="933"/>
      <c r="D17" s="934"/>
      <c r="E17" s="934"/>
      <c r="F17" s="935"/>
      <c r="G17" s="74"/>
      <c r="H17" s="175"/>
      <c r="I17" s="73"/>
      <c r="J17" s="769"/>
      <c r="K17" s="797"/>
      <c r="L17" s="797"/>
      <c r="M17" s="798"/>
      <c r="N17" s="8"/>
      <c r="O17" s="251" t="s">
        <v>316</v>
      </c>
      <c r="P17" s="261"/>
      <c r="Q17" s="75"/>
      <c r="R17" s="75"/>
      <c r="S17" s="270"/>
      <c r="T17" s="776"/>
      <c r="U17" s="777"/>
      <c r="V17" s="777"/>
      <c r="W17" s="778"/>
      <c r="X17" s="257"/>
      <c r="Y17" s="176"/>
      <c r="Z17" s="73"/>
      <c r="AA17" s="885"/>
      <c r="AB17" s="886"/>
      <c r="AC17" s="886"/>
      <c r="AD17" s="887"/>
      <c r="AE17" s="74"/>
      <c r="AF17" s="143"/>
      <c r="AG17" s="123">
        <f t="shared" si="1"/>
        <v>0</v>
      </c>
      <c r="AH17" s="122"/>
      <c r="AI17" s="847"/>
      <c r="AJ17" s="102"/>
      <c r="AK17" s="102"/>
      <c r="AL17" s="124"/>
      <c r="AM17" s="103"/>
      <c r="AN17" s="102"/>
      <c r="AO17" s="102"/>
      <c r="AP17" s="907"/>
      <c r="AQ17" s="103"/>
      <c r="AR17" s="102"/>
      <c r="AS17" s="102"/>
      <c r="AT17" s="97"/>
      <c r="AU17" s="97"/>
      <c r="AV17" s="103"/>
    </row>
    <row r="18" spans="1:48" s="90" customFormat="1" ht="17.5" customHeight="1">
      <c r="B18" s="73"/>
      <c r="C18" s="933"/>
      <c r="D18" s="934"/>
      <c r="E18" s="934"/>
      <c r="F18" s="935"/>
      <c r="G18" s="74"/>
      <c r="H18" s="175"/>
      <c r="I18" s="73"/>
      <c r="J18" s="769"/>
      <c r="K18" s="797"/>
      <c r="L18" s="797"/>
      <c r="M18" s="798"/>
      <c r="N18" s="8"/>
      <c r="O18" s="251" t="s">
        <v>848</v>
      </c>
      <c r="P18" s="261"/>
      <c r="Q18" s="75"/>
      <c r="R18" s="75"/>
      <c r="S18" s="270"/>
      <c r="T18" s="776"/>
      <c r="U18" s="777"/>
      <c r="V18" s="777"/>
      <c r="W18" s="778"/>
      <c r="X18" s="257"/>
      <c r="Y18" s="176"/>
      <c r="Z18" s="73"/>
      <c r="AA18" s="885"/>
      <c r="AB18" s="886"/>
      <c r="AC18" s="886"/>
      <c r="AD18" s="887"/>
      <c r="AE18" s="74"/>
      <c r="AF18" s="143"/>
      <c r="AG18" s="123">
        <f t="shared" si="1"/>
        <v>0</v>
      </c>
      <c r="AH18" s="122"/>
      <c r="AI18" s="847"/>
      <c r="AJ18" s="102"/>
      <c r="AK18" s="102"/>
      <c r="AL18" s="124"/>
      <c r="AM18" s="103"/>
      <c r="AN18" s="102"/>
      <c r="AO18" s="102"/>
      <c r="AP18" s="907"/>
      <c r="AQ18" s="103"/>
      <c r="AR18" s="102"/>
      <c r="AS18" s="102"/>
      <c r="AT18" s="97"/>
      <c r="AU18" s="97"/>
      <c r="AV18" s="103"/>
    </row>
    <row r="19" spans="1:48" s="90" customFormat="1" ht="17.5" customHeight="1">
      <c r="B19" s="73"/>
      <c r="C19" s="933"/>
      <c r="D19" s="934"/>
      <c r="E19" s="934"/>
      <c r="F19" s="935"/>
      <c r="G19" s="74"/>
      <c r="H19" s="175"/>
      <c r="I19" s="73"/>
      <c r="J19" s="769"/>
      <c r="K19" s="797"/>
      <c r="L19" s="797"/>
      <c r="M19" s="798"/>
      <c r="N19" s="8"/>
      <c r="O19" s="251" t="s">
        <v>846</v>
      </c>
      <c r="P19" s="261"/>
      <c r="Q19" s="75"/>
      <c r="R19" s="75"/>
      <c r="S19" s="270"/>
      <c r="T19" s="776"/>
      <c r="U19" s="777"/>
      <c r="V19" s="777"/>
      <c r="W19" s="778"/>
      <c r="X19" s="257"/>
      <c r="Y19" s="176"/>
      <c r="Z19" s="73"/>
      <c r="AA19" s="885"/>
      <c r="AB19" s="886"/>
      <c r="AC19" s="886"/>
      <c r="AD19" s="887"/>
      <c r="AE19" s="74"/>
      <c r="AF19" s="143"/>
      <c r="AG19" s="123">
        <f t="shared" si="1"/>
        <v>0</v>
      </c>
      <c r="AH19" s="122"/>
      <c r="AI19" s="847"/>
      <c r="AJ19" s="102"/>
      <c r="AK19" s="102"/>
      <c r="AL19" s="124"/>
      <c r="AM19" s="103"/>
      <c r="AN19" s="102"/>
      <c r="AO19" s="102"/>
      <c r="AP19" s="907"/>
      <c r="AQ19" s="103"/>
      <c r="AR19" s="102"/>
      <c r="AS19" s="102"/>
      <c r="AT19" s="97"/>
      <c r="AU19" s="97"/>
      <c r="AV19" s="103"/>
    </row>
    <row r="20" spans="1:48" s="90" customFormat="1" ht="17.5" customHeight="1" thickBot="1">
      <c r="B20" s="73"/>
      <c r="C20" s="933"/>
      <c r="D20" s="934"/>
      <c r="E20" s="934"/>
      <c r="F20" s="935"/>
      <c r="G20" s="74"/>
      <c r="H20" s="175"/>
      <c r="I20" s="73"/>
      <c r="J20" s="769"/>
      <c r="K20" s="797"/>
      <c r="L20" s="797"/>
      <c r="M20" s="798"/>
      <c r="N20" s="8"/>
      <c r="O20" s="251" t="s">
        <v>961</v>
      </c>
      <c r="P20" s="261"/>
      <c r="Q20" s="75"/>
      <c r="R20" s="75"/>
      <c r="S20" s="270"/>
      <c r="T20" s="776"/>
      <c r="U20" s="777"/>
      <c r="V20" s="777"/>
      <c r="W20" s="778"/>
      <c r="X20" s="257"/>
      <c r="Y20" s="176"/>
      <c r="Z20" s="73"/>
      <c r="AA20" s="885"/>
      <c r="AB20" s="886"/>
      <c r="AC20" s="886"/>
      <c r="AD20" s="887"/>
      <c r="AE20" s="74"/>
      <c r="AF20" s="143"/>
      <c r="AG20" s="123">
        <f t="shared" si="1"/>
        <v>0</v>
      </c>
      <c r="AH20" s="122"/>
      <c r="AI20" s="847"/>
      <c r="AJ20" s="102"/>
      <c r="AK20" s="102"/>
      <c r="AL20" s="124"/>
      <c r="AM20" s="103"/>
      <c r="AN20" s="102"/>
      <c r="AO20" s="102"/>
      <c r="AP20" s="907"/>
      <c r="AQ20" s="103"/>
      <c r="AR20" s="102"/>
      <c r="AS20" s="102"/>
      <c r="AT20" s="97"/>
      <c r="AU20" s="97"/>
      <c r="AV20" s="103"/>
    </row>
    <row r="21" spans="1:48" s="90" customFormat="1" ht="17.5" customHeight="1" thickTop="1" thickBot="1">
      <c r="B21" s="73"/>
      <c r="C21" s="933"/>
      <c r="D21" s="934"/>
      <c r="E21" s="934"/>
      <c r="F21" s="935"/>
      <c r="G21" s="74"/>
      <c r="H21" s="175"/>
      <c r="I21" s="73"/>
      <c r="J21" s="769"/>
      <c r="K21" s="797"/>
      <c r="L21" s="797"/>
      <c r="M21" s="798"/>
      <c r="N21" s="8"/>
      <c r="O21" s="315" t="s">
        <v>958</v>
      </c>
      <c r="P21" s="316">
        <f>SUM(P13:P20)</f>
        <v>0</v>
      </c>
      <c r="Q21" s="893" t="str">
        <f>"Reduction target set at: " &amp; Milestone_1!O103*100 &amp;"%"</f>
        <v>Reduction target set at: 0%</v>
      </c>
      <c r="R21" s="894"/>
      <c r="S21" s="271"/>
      <c r="T21" s="776"/>
      <c r="U21" s="777"/>
      <c r="V21" s="777"/>
      <c r="W21" s="778"/>
      <c r="X21" s="257"/>
      <c r="Y21" s="176"/>
      <c r="Z21" s="73"/>
      <c r="AA21" s="885"/>
      <c r="AB21" s="886"/>
      <c r="AC21" s="886"/>
      <c r="AD21" s="887"/>
      <c r="AE21" s="74"/>
      <c r="AF21" s="143"/>
      <c r="AG21" s="123"/>
      <c r="AH21" s="482"/>
      <c r="AI21" s="847"/>
      <c r="AJ21" s="102"/>
      <c r="AK21" s="102"/>
      <c r="AL21" s="124"/>
      <c r="AM21" s="103"/>
      <c r="AN21" s="102"/>
      <c r="AO21" s="102"/>
      <c r="AP21" s="907"/>
      <c r="AQ21" s="103"/>
      <c r="AR21" s="102"/>
      <c r="AS21" s="102"/>
      <c r="AT21" s="97"/>
      <c r="AU21" s="97"/>
      <c r="AV21" s="103"/>
    </row>
    <row r="22" spans="1:48" ht="19" customHeight="1" thickTop="1">
      <c r="B22" s="2"/>
      <c r="C22" s="933"/>
      <c r="D22" s="934"/>
      <c r="E22" s="934"/>
      <c r="F22" s="935"/>
      <c r="G22" s="3"/>
      <c r="H22" s="176"/>
      <c r="I22" s="2"/>
      <c r="J22" s="770"/>
      <c r="K22" s="800"/>
      <c r="L22" s="800"/>
      <c r="M22" s="801"/>
      <c r="N22" s="1"/>
      <c r="O22" s="895" t="s">
        <v>317</v>
      </c>
      <c r="P22" s="896"/>
      <c r="Q22" s="897"/>
      <c r="R22" s="280" t="b">
        <v>0</v>
      </c>
      <c r="S22" s="1"/>
      <c r="T22" s="779"/>
      <c r="U22" s="780"/>
      <c r="V22" s="780"/>
      <c r="W22" s="781"/>
      <c r="X22" s="3"/>
      <c r="Y22" s="176"/>
      <c r="Z22" s="2"/>
      <c r="AA22" s="888"/>
      <c r="AB22" s="889"/>
      <c r="AC22" s="889"/>
      <c r="AD22" s="890"/>
      <c r="AE22" s="3"/>
      <c r="AF22" s="143"/>
      <c r="AG22" s="110">
        <f>IF(R22,1,0)</f>
        <v>0</v>
      </c>
      <c r="AH22" s="111"/>
      <c r="AI22" s="848"/>
    </row>
    <row r="23" spans="1:48" ht="19" thickBot="1">
      <c r="B23" s="2"/>
      <c r="C23" s="936"/>
      <c r="D23" s="937"/>
      <c r="E23" s="937"/>
      <c r="F23" s="938"/>
      <c r="G23" s="3"/>
      <c r="H23" s="176"/>
      <c r="I23" s="2"/>
      <c r="J23" s="57"/>
      <c r="K23" s="226"/>
      <c r="L23" s="226"/>
      <c r="M23" s="226"/>
      <c r="N23" s="1"/>
      <c r="O23" s="18"/>
      <c r="P23" s="317"/>
      <c r="Q23" s="25"/>
      <c r="R23" s="25"/>
      <c r="S23" s="1"/>
      <c r="T23" s="17"/>
      <c r="U23" s="17"/>
      <c r="V23" s="17"/>
      <c r="W23" s="17"/>
      <c r="X23" s="3"/>
      <c r="Y23" s="176"/>
      <c r="Z23" s="2"/>
      <c r="AA23" s="263"/>
      <c r="AB23" s="263"/>
      <c r="AC23" s="263"/>
      <c r="AD23" s="263"/>
      <c r="AE23" s="3"/>
      <c r="AF23" s="143"/>
      <c r="AG23" s="129">
        <f>SUM(AG7:AG22)</f>
        <v>0</v>
      </c>
      <c r="AH23" s="129">
        <f>SUM(AH7:AH22)</f>
        <v>0</v>
      </c>
      <c r="AI23" s="129"/>
    </row>
    <row r="24" spans="1:48" ht="19" thickTop="1">
      <c r="B24" s="2"/>
      <c r="C24" s="250"/>
      <c r="D24" s="250"/>
      <c r="E24" s="250"/>
      <c r="F24"/>
      <c r="G24" s="3"/>
      <c r="H24" s="176"/>
      <c r="I24" s="2"/>
      <c r="J24" s="28" t="s">
        <v>26</v>
      </c>
      <c r="K24" s="225" t="s">
        <v>858</v>
      </c>
      <c r="L24" s="232"/>
      <c r="M24" s="232"/>
      <c r="N24" s="1"/>
      <c r="O24" s="10"/>
      <c r="P24" s="18"/>
      <c r="Q24" s="18"/>
      <c r="R24" s="18"/>
      <c r="S24" s="1"/>
      <c r="T24" s="10"/>
      <c r="U24" s="10"/>
      <c r="V24" s="10"/>
      <c r="W24" s="10"/>
      <c r="X24" s="83"/>
      <c r="Y24" s="177"/>
      <c r="Z24" s="2"/>
      <c r="AA24" s="917"/>
      <c r="AB24" s="918"/>
      <c r="AC24" s="918"/>
      <c r="AD24" s="919"/>
      <c r="AE24" s="3"/>
      <c r="AF24" s="143"/>
      <c r="AI24" s="260"/>
    </row>
    <row r="25" spans="1:48">
      <c r="B25" s="2"/>
      <c r="C25" s="930"/>
      <c r="D25" s="931"/>
      <c r="E25" s="931"/>
      <c r="F25" s="932"/>
      <c r="G25" s="3"/>
      <c r="H25" s="176"/>
      <c r="I25" s="2"/>
      <c r="J25" s="65"/>
      <c r="K25" s="232"/>
      <c r="L25" s="232"/>
      <c r="M25" s="232"/>
      <c r="N25"/>
      <c r="O25" s="10"/>
      <c r="P25" s="18"/>
      <c r="Q25" s="18"/>
      <c r="R25" s="18"/>
      <c r="S25" s="1"/>
      <c r="T25" s="10"/>
      <c r="U25" s="10"/>
      <c r="V25" s="10"/>
      <c r="W25" s="10"/>
      <c r="X25" s="83"/>
      <c r="Y25" s="177"/>
      <c r="Z25" s="82"/>
      <c r="AA25" s="920"/>
      <c r="AB25" s="921"/>
      <c r="AC25" s="921"/>
      <c r="AD25" s="922"/>
      <c r="AE25" s="83"/>
      <c r="AF25" s="143"/>
      <c r="AI25" s="260"/>
    </row>
    <row r="26" spans="1:48" s="91" customFormat="1" ht="16">
      <c r="A26" s="7"/>
      <c r="B26" s="2"/>
      <c r="C26" s="933"/>
      <c r="D26" s="934"/>
      <c r="E26" s="934"/>
      <c r="F26" s="935"/>
      <c r="G26" s="3"/>
      <c r="H26" s="176"/>
      <c r="I26" s="2"/>
      <c r="J26" s="792">
        <v>2.1</v>
      </c>
      <c r="K26" s="787" t="s">
        <v>385</v>
      </c>
      <c r="L26" s="787"/>
      <c r="M26" s="787"/>
      <c r="N26" s="10"/>
      <c r="O26" s="771" t="s">
        <v>361</v>
      </c>
      <c r="P26" s="860"/>
      <c r="Q26" s="772"/>
      <c r="R26" s="134" t="b">
        <v>0</v>
      </c>
      <c r="S26" s="10"/>
      <c r="T26" s="720" t="s">
        <v>80</v>
      </c>
      <c r="U26" s="720"/>
      <c r="V26" s="720"/>
      <c r="W26" s="720"/>
      <c r="X26" s="12"/>
      <c r="Y26" s="173"/>
      <c r="Z26" s="9"/>
      <c r="AA26" s="920"/>
      <c r="AB26" s="921"/>
      <c r="AC26" s="921"/>
      <c r="AD26" s="922"/>
      <c r="AE26" s="12"/>
      <c r="AF26" s="143"/>
      <c r="AG26" s="185">
        <f>IF(R26, 1, 0)</f>
        <v>0</v>
      </c>
      <c r="AH26" s="186"/>
      <c r="AI26" s="927">
        <f>SUM(AH26:AH82) * AN8</f>
        <v>0</v>
      </c>
      <c r="AJ26" s="103"/>
      <c r="AL26" s="349"/>
      <c r="AO26" s="103"/>
    </row>
    <row r="27" spans="1:48" s="91" customFormat="1" ht="16">
      <c r="A27" s="7"/>
      <c r="B27" s="9"/>
      <c r="C27" s="933"/>
      <c r="D27" s="934"/>
      <c r="E27" s="934"/>
      <c r="F27" s="935"/>
      <c r="G27" s="3"/>
      <c r="H27" s="176"/>
      <c r="I27" s="9"/>
      <c r="J27" s="792"/>
      <c r="K27" s="787"/>
      <c r="L27" s="787"/>
      <c r="M27" s="787"/>
      <c r="N27" s="10"/>
      <c r="O27" s="788" t="s">
        <v>855</v>
      </c>
      <c r="P27" s="788"/>
      <c r="Q27" s="788"/>
      <c r="R27" s="134" t="b">
        <v>0</v>
      </c>
      <c r="S27" s="10"/>
      <c r="T27" s="720"/>
      <c r="U27" s="720"/>
      <c r="V27" s="720"/>
      <c r="W27" s="720"/>
      <c r="X27" s="12"/>
      <c r="Y27" s="173"/>
      <c r="Z27" s="9"/>
      <c r="AA27" s="920"/>
      <c r="AB27" s="921"/>
      <c r="AC27" s="921"/>
      <c r="AD27" s="922"/>
      <c r="AE27" s="12"/>
      <c r="AF27" s="143"/>
      <c r="AG27" s="123">
        <f t="shared" ref="AG27:AG32" si="2">IF(R27, 1, 0)</f>
        <v>0</v>
      </c>
      <c r="AH27" s="122"/>
      <c r="AI27" s="928"/>
      <c r="AJ27" s="103"/>
      <c r="AL27" s="349"/>
      <c r="AO27" s="103"/>
    </row>
    <row r="28" spans="1:48" s="91" customFormat="1" ht="16">
      <c r="A28" s="7"/>
      <c r="B28" s="9"/>
      <c r="C28" s="933"/>
      <c r="D28" s="934"/>
      <c r="E28" s="934"/>
      <c r="F28" s="935"/>
      <c r="G28" s="12"/>
      <c r="H28" s="176"/>
      <c r="I28" s="9"/>
      <c r="J28" s="792"/>
      <c r="K28" s="787"/>
      <c r="L28" s="787"/>
      <c r="M28" s="787"/>
      <c r="N28" s="10"/>
      <c r="O28" s="788" t="s">
        <v>362</v>
      </c>
      <c r="P28" s="788"/>
      <c r="Q28" s="788"/>
      <c r="R28" s="134" t="b">
        <v>0</v>
      </c>
      <c r="S28" s="10"/>
      <c r="T28" s="720"/>
      <c r="U28" s="720"/>
      <c r="V28" s="720"/>
      <c r="W28" s="720"/>
      <c r="X28" s="12"/>
      <c r="Y28" s="173"/>
      <c r="Z28" s="9"/>
      <c r="AA28" s="920"/>
      <c r="AB28" s="921"/>
      <c r="AC28" s="921"/>
      <c r="AD28" s="922"/>
      <c r="AE28" s="12"/>
      <c r="AF28" s="143"/>
      <c r="AG28" s="123">
        <f t="shared" si="2"/>
        <v>0</v>
      </c>
      <c r="AH28" s="122"/>
      <c r="AI28" s="928"/>
      <c r="AJ28" s="103"/>
      <c r="AL28" s="349"/>
      <c r="AO28" s="103"/>
    </row>
    <row r="29" spans="1:48" s="91" customFormat="1" ht="16">
      <c r="A29" s="7"/>
      <c r="B29" s="9"/>
      <c r="C29" s="933"/>
      <c r="D29" s="934"/>
      <c r="E29" s="934"/>
      <c r="F29" s="935"/>
      <c r="G29" s="12"/>
      <c r="H29" s="176"/>
      <c r="I29" s="9"/>
      <c r="J29" s="792"/>
      <c r="K29" s="787"/>
      <c r="L29" s="787"/>
      <c r="M29" s="787"/>
      <c r="N29" s="10"/>
      <c r="O29" s="788" t="s">
        <v>363</v>
      </c>
      <c r="P29" s="788"/>
      <c r="Q29" s="788"/>
      <c r="R29" s="134" t="b">
        <v>0</v>
      </c>
      <c r="S29" s="10"/>
      <c r="T29" s="720"/>
      <c r="U29" s="720"/>
      <c r="V29" s="720"/>
      <c r="W29" s="720"/>
      <c r="X29" s="12"/>
      <c r="Y29" s="173"/>
      <c r="Z29" s="9"/>
      <c r="AA29" s="920"/>
      <c r="AB29" s="921"/>
      <c r="AC29" s="921"/>
      <c r="AD29" s="922"/>
      <c r="AE29" s="12"/>
      <c r="AF29" s="143"/>
      <c r="AG29" s="123">
        <f t="shared" si="2"/>
        <v>0</v>
      </c>
      <c r="AH29" s="122"/>
      <c r="AI29" s="928"/>
      <c r="AJ29" s="103"/>
      <c r="AL29" s="349"/>
      <c r="AO29" s="103"/>
    </row>
    <row r="30" spans="1:48" s="91" customFormat="1" ht="16">
      <c r="A30" s="7"/>
      <c r="B30" s="9"/>
      <c r="C30" s="933"/>
      <c r="D30" s="934"/>
      <c r="E30" s="934"/>
      <c r="F30" s="935"/>
      <c r="G30" s="12"/>
      <c r="H30" s="176"/>
      <c r="I30" s="9"/>
      <c r="J30" s="792"/>
      <c r="K30" s="787"/>
      <c r="L30" s="787"/>
      <c r="M30" s="787"/>
      <c r="N30" s="10"/>
      <c r="O30" s="788" t="s">
        <v>364</v>
      </c>
      <c r="P30" s="788"/>
      <c r="Q30" s="788"/>
      <c r="R30" s="134" t="b">
        <v>0</v>
      </c>
      <c r="S30" s="10"/>
      <c r="T30" s="720"/>
      <c r="U30" s="720"/>
      <c r="V30" s="720"/>
      <c r="W30" s="720"/>
      <c r="X30" s="12"/>
      <c r="Y30" s="173"/>
      <c r="Z30" s="9"/>
      <c r="AA30" s="920"/>
      <c r="AB30" s="921"/>
      <c r="AC30" s="921"/>
      <c r="AD30" s="922"/>
      <c r="AE30" s="12"/>
      <c r="AF30" s="143"/>
      <c r="AG30" s="123">
        <f t="shared" si="2"/>
        <v>0</v>
      </c>
      <c r="AH30" s="122"/>
      <c r="AI30" s="928"/>
      <c r="AJ30" s="103"/>
      <c r="AL30" s="349"/>
      <c r="AO30" s="103"/>
    </row>
    <row r="31" spans="1:48" s="91" customFormat="1" ht="16">
      <c r="A31" s="7"/>
      <c r="B31" s="9"/>
      <c r="C31" s="933"/>
      <c r="D31" s="934"/>
      <c r="E31" s="934"/>
      <c r="F31" s="935"/>
      <c r="G31" s="12"/>
      <c r="H31" s="173"/>
      <c r="I31" s="9"/>
      <c r="J31" s="792"/>
      <c r="K31" s="787"/>
      <c r="L31" s="787"/>
      <c r="M31" s="787"/>
      <c r="N31" s="10"/>
      <c r="O31" s="788" t="s">
        <v>365</v>
      </c>
      <c r="P31" s="788"/>
      <c r="Q31" s="788"/>
      <c r="R31" s="134" t="b">
        <v>0</v>
      </c>
      <c r="S31" s="10"/>
      <c r="T31" s="720"/>
      <c r="U31" s="720"/>
      <c r="V31" s="720"/>
      <c r="W31" s="720"/>
      <c r="X31" s="12"/>
      <c r="Y31" s="173"/>
      <c r="Z31" s="9"/>
      <c r="AA31" s="920"/>
      <c r="AB31" s="921"/>
      <c r="AC31" s="921"/>
      <c r="AD31" s="922"/>
      <c r="AE31" s="12"/>
      <c r="AG31" s="123">
        <f t="shared" si="2"/>
        <v>0</v>
      </c>
      <c r="AH31" s="122"/>
      <c r="AI31" s="928"/>
      <c r="AJ31" s="103"/>
      <c r="AL31" s="349"/>
      <c r="AO31" s="103"/>
    </row>
    <row r="32" spans="1:48" s="91" customFormat="1" ht="16">
      <c r="A32" s="7"/>
      <c r="B32" s="9"/>
      <c r="C32" s="933"/>
      <c r="D32" s="934"/>
      <c r="E32" s="934"/>
      <c r="F32" s="935"/>
      <c r="G32" s="12"/>
      <c r="H32" s="173"/>
      <c r="I32" s="9"/>
      <c r="J32" s="792"/>
      <c r="K32" s="787"/>
      <c r="L32" s="787"/>
      <c r="M32" s="787"/>
      <c r="N32" s="10"/>
      <c r="O32" s="788" t="s">
        <v>366</v>
      </c>
      <c r="P32" s="788"/>
      <c r="Q32" s="788"/>
      <c r="R32" s="134" t="b">
        <v>0</v>
      </c>
      <c r="S32" s="10"/>
      <c r="T32" s="720"/>
      <c r="U32" s="720"/>
      <c r="V32" s="720"/>
      <c r="W32" s="720"/>
      <c r="X32" s="12"/>
      <c r="Y32" s="173"/>
      <c r="Z32" s="9"/>
      <c r="AA32" s="923"/>
      <c r="AB32" s="924"/>
      <c r="AC32" s="924"/>
      <c r="AD32" s="925"/>
      <c r="AE32" s="12"/>
      <c r="AG32" s="123">
        <f t="shared" si="2"/>
        <v>0</v>
      </c>
      <c r="AH32" s="122"/>
      <c r="AI32" s="928"/>
      <c r="AJ32" s="103"/>
      <c r="AL32" s="349"/>
      <c r="AO32" s="103"/>
    </row>
    <row r="33" spans="2:38">
      <c r="B33" s="82"/>
      <c r="C33" s="933"/>
      <c r="D33" s="934"/>
      <c r="E33" s="934"/>
      <c r="F33" s="935"/>
      <c r="G33" s="83"/>
      <c r="H33" s="177"/>
      <c r="I33" s="82"/>
      <c r="J33" s="65"/>
      <c r="K33" s="232"/>
      <c r="L33" s="232"/>
      <c r="M33" s="232"/>
      <c r="N33"/>
      <c r="O33" s="10"/>
      <c r="P33" s="18"/>
      <c r="Q33" s="18"/>
      <c r="R33" s="18"/>
      <c r="S33"/>
      <c r="T33" s="10"/>
      <c r="U33" s="10"/>
      <c r="V33" s="10"/>
      <c r="W33" s="10"/>
      <c r="X33" s="83"/>
      <c r="Y33" s="177"/>
      <c r="Z33" s="82"/>
      <c r="AA33" s="324"/>
      <c r="AB33" s="324"/>
      <c r="AC33" s="324"/>
      <c r="AD33" s="324"/>
      <c r="AE33" s="83"/>
      <c r="AG33" s="123"/>
      <c r="AH33" s="122"/>
      <c r="AI33" s="928"/>
    </row>
    <row r="34" spans="2:38" ht="51" customHeight="1">
      <c r="B34" s="9"/>
      <c r="C34" s="933"/>
      <c r="D34" s="934"/>
      <c r="E34" s="934"/>
      <c r="F34" s="935"/>
      <c r="G34" s="12"/>
      <c r="H34" s="173"/>
      <c r="I34" s="82"/>
      <c r="J34" s="768">
        <v>2.2000000000000002</v>
      </c>
      <c r="K34" s="793" t="s">
        <v>395</v>
      </c>
      <c r="L34" s="794"/>
      <c r="M34" s="795"/>
      <c r="N34" s="10"/>
      <c r="O34" s="788" t="s">
        <v>367</v>
      </c>
      <c r="P34" s="788"/>
      <c r="Q34" s="788"/>
      <c r="R34" s="134" t="b">
        <v>0</v>
      </c>
      <c r="S34" s="10"/>
      <c r="T34" s="829" t="s">
        <v>80</v>
      </c>
      <c r="U34" s="830"/>
      <c r="V34" s="830"/>
      <c r="W34" s="831"/>
      <c r="X34" s="12"/>
      <c r="Y34" s="173"/>
      <c r="Z34" s="9"/>
      <c r="AA34" s="837" t="str" cm="1">
        <f t="array" ref="AA34">IF(OR(AG34:AG37, AG38),
    IF(AG38, Feedback_List!B66,
        IF(AND(AG34, AG35, AG36, AG37), "",
            _xlfn.TEXTJOIN(CHAR(10), TRUE,
                AK34,
                _xlfn._xlws.FILTER(AL34:AL37, NOT(AG34:AG37)))
        )
    ),
    "")</f>
        <v/>
      </c>
      <c r="AB34" s="838"/>
      <c r="AC34" s="838"/>
      <c r="AD34" s="839"/>
      <c r="AE34" s="12"/>
      <c r="AF34" s="91"/>
      <c r="AG34" s="123">
        <f>IF(R34, 1, 0)</f>
        <v>0</v>
      </c>
      <c r="AH34" s="122">
        <f>IF(AG34,2,0)</f>
        <v>0</v>
      </c>
      <c r="AI34" s="928"/>
      <c r="AK34" s="120" t="s">
        <v>802</v>
      </c>
      <c r="AL34" s="124" t="s">
        <v>804</v>
      </c>
    </row>
    <row r="35" spans="2:38" ht="51" customHeight="1">
      <c r="B35" s="9"/>
      <c r="C35" s="933"/>
      <c r="D35" s="934"/>
      <c r="E35" s="934"/>
      <c r="F35" s="935"/>
      <c r="G35" s="12"/>
      <c r="H35" s="173"/>
      <c r="I35" s="82"/>
      <c r="J35" s="769"/>
      <c r="K35" s="796"/>
      <c r="L35" s="797"/>
      <c r="M35" s="798"/>
      <c r="N35" s="10"/>
      <c r="O35" s="788" t="s">
        <v>368</v>
      </c>
      <c r="P35" s="788"/>
      <c r="Q35" s="788"/>
      <c r="R35" s="134" t="b">
        <v>0</v>
      </c>
      <c r="S35" s="10"/>
      <c r="T35" s="832"/>
      <c r="U35" s="833"/>
      <c r="V35" s="833"/>
      <c r="W35" s="834"/>
      <c r="X35" s="12"/>
      <c r="Y35" s="173"/>
      <c r="Z35" s="9"/>
      <c r="AA35" s="840"/>
      <c r="AB35" s="841"/>
      <c r="AC35" s="841"/>
      <c r="AD35" s="842"/>
      <c r="AE35" s="12"/>
      <c r="AF35" s="91"/>
      <c r="AG35" s="123">
        <f t="shared" ref="AG35:AG38" si="3">IF(R35, 1, 0)</f>
        <v>0</v>
      </c>
      <c r="AH35" s="122">
        <f t="shared" ref="AH35:AH37" si="4">IF(AG35,2,0)</f>
        <v>0</v>
      </c>
      <c r="AI35" s="928"/>
      <c r="AL35" s="124" t="s">
        <v>805</v>
      </c>
    </row>
    <row r="36" spans="2:38" ht="51" customHeight="1">
      <c r="B36" s="9"/>
      <c r="C36" s="933"/>
      <c r="D36" s="934"/>
      <c r="E36" s="934"/>
      <c r="F36" s="935"/>
      <c r="G36" s="12"/>
      <c r="H36" s="173"/>
      <c r="I36" s="82"/>
      <c r="J36" s="769"/>
      <c r="K36" s="796"/>
      <c r="L36" s="797"/>
      <c r="M36" s="798"/>
      <c r="N36" s="10"/>
      <c r="O36" s="788" t="s">
        <v>369</v>
      </c>
      <c r="P36" s="788"/>
      <c r="Q36" s="788"/>
      <c r="R36" s="134" t="b">
        <v>0</v>
      </c>
      <c r="S36" s="10"/>
      <c r="T36" s="832"/>
      <c r="U36" s="833"/>
      <c r="V36" s="833"/>
      <c r="W36" s="834"/>
      <c r="X36" s="12"/>
      <c r="Y36" s="173"/>
      <c r="Z36" s="9"/>
      <c r="AA36" s="840"/>
      <c r="AB36" s="841"/>
      <c r="AC36" s="841"/>
      <c r="AD36" s="842"/>
      <c r="AE36" s="12"/>
      <c r="AF36" s="91"/>
      <c r="AG36" s="123">
        <f t="shared" si="3"/>
        <v>0</v>
      </c>
      <c r="AH36" s="122">
        <f t="shared" si="4"/>
        <v>0</v>
      </c>
      <c r="AI36" s="928"/>
      <c r="AL36" s="124" t="s">
        <v>806</v>
      </c>
    </row>
    <row r="37" spans="2:38" ht="51" customHeight="1">
      <c r="B37" s="9"/>
      <c r="C37" s="933"/>
      <c r="D37" s="934"/>
      <c r="E37" s="934"/>
      <c r="F37" s="935"/>
      <c r="G37" s="12"/>
      <c r="H37" s="173"/>
      <c r="I37" s="82"/>
      <c r="J37" s="769"/>
      <c r="K37" s="796"/>
      <c r="L37" s="797"/>
      <c r="M37" s="798"/>
      <c r="N37" s="10"/>
      <c r="O37" s="788" t="s">
        <v>370</v>
      </c>
      <c r="P37" s="788"/>
      <c r="Q37" s="788"/>
      <c r="R37" s="134" t="b">
        <v>0</v>
      </c>
      <c r="S37" s="10"/>
      <c r="T37" s="832"/>
      <c r="U37" s="833"/>
      <c r="V37" s="833"/>
      <c r="W37" s="834"/>
      <c r="X37" s="12"/>
      <c r="Y37" s="173"/>
      <c r="Z37" s="9"/>
      <c r="AA37" s="840"/>
      <c r="AB37" s="841"/>
      <c r="AC37" s="841"/>
      <c r="AD37" s="842"/>
      <c r="AE37" s="12"/>
      <c r="AF37" s="91"/>
      <c r="AG37" s="123">
        <f t="shared" si="3"/>
        <v>0</v>
      </c>
      <c r="AH37" s="122">
        <f t="shared" si="4"/>
        <v>0</v>
      </c>
      <c r="AI37" s="928"/>
      <c r="AL37" s="124" t="s">
        <v>807</v>
      </c>
    </row>
    <row r="38" spans="2:38" ht="51" customHeight="1">
      <c r="B38" s="9"/>
      <c r="C38" s="933"/>
      <c r="D38" s="934"/>
      <c r="E38" s="934"/>
      <c r="F38" s="935"/>
      <c r="G38" s="12"/>
      <c r="H38" s="173"/>
      <c r="I38" s="82"/>
      <c r="J38" s="769"/>
      <c r="K38" s="796"/>
      <c r="L38" s="797"/>
      <c r="M38" s="798"/>
      <c r="N38" s="10"/>
      <c r="O38" s="788" t="s">
        <v>371</v>
      </c>
      <c r="P38" s="788"/>
      <c r="Q38" s="788"/>
      <c r="R38" s="134" t="b">
        <v>0</v>
      </c>
      <c r="S38" s="10"/>
      <c r="T38" s="832"/>
      <c r="U38" s="833"/>
      <c r="V38" s="833"/>
      <c r="W38" s="834"/>
      <c r="X38" s="12"/>
      <c r="Y38" s="173"/>
      <c r="Z38" s="9"/>
      <c r="AA38" s="840"/>
      <c r="AB38" s="841"/>
      <c r="AC38" s="841"/>
      <c r="AD38" s="842"/>
      <c r="AE38" s="12"/>
      <c r="AF38" s="91"/>
      <c r="AG38" s="123">
        <f t="shared" si="3"/>
        <v>0</v>
      </c>
      <c r="AH38" s="122"/>
      <c r="AI38" s="928"/>
    </row>
    <row r="39" spans="2:38" ht="51" customHeight="1">
      <c r="B39" s="9"/>
      <c r="C39" s="933"/>
      <c r="D39" s="934"/>
      <c r="E39" s="934"/>
      <c r="F39" s="935"/>
      <c r="G39" s="12"/>
      <c r="H39" s="173"/>
      <c r="I39" s="82"/>
      <c r="J39" s="770"/>
      <c r="K39" s="799"/>
      <c r="L39" s="800"/>
      <c r="M39" s="801"/>
      <c r="N39" s="10"/>
      <c r="O39" s="788" t="s">
        <v>196</v>
      </c>
      <c r="P39" s="788"/>
      <c r="Q39" s="788"/>
      <c r="R39" s="134" t="b">
        <v>0</v>
      </c>
      <c r="S39" s="10"/>
      <c r="T39" s="835"/>
      <c r="U39" s="701"/>
      <c r="V39" s="701"/>
      <c r="W39" s="836"/>
      <c r="X39" s="12"/>
      <c r="Y39" s="173"/>
      <c r="Z39" s="9"/>
      <c r="AA39" s="843"/>
      <c r="AB39" s="844"/>
      <c r="AC39" s="844"/>
      <c r="AD39" s="845"/>
      <c r="AE39" s="12"/>
      <c r="AF39" s="91"/>
      <c r="AG39" s="123"/>
      <c r="AH39" s="122"/>
      <c r="AI39" s="928"/>
    </row>
    <row r="40" spans="2:38">
      <c r="B40" s="9"/>
      <c r="C40" s="933"/>
      <c r="D40" s="934"/>
      <c r="E40" s="934"/>
      <c r="F40" s="935"/>
      <c r="G40" s="12"/>
      <c r="H40" s="173"/>
      <c r="I40" s="82"/>
      <c r="J40" s="258"/>
      <c r="K40" s="238"/>
      <c r="L40" s="238"/>
      <c r="M40" s="238"/>
      <c r="N40" s="10"/>
      <c r="O40" s="10"/>
      <c r="P40" s="18"/>
      <c r="Q40" s="18"/>
      <c r="R40" s="259"/>
      <c r="S40" s="10"/>
      <c r="T40" s="318"/>
      <c r="U40" s="318"/>
      <c r="V40" s="318"/>
      <c r="W40" s="318"/>
      <c r="X40" s="12"/>
      <c r="Y40" s="173"/>
      <c r="Z40" s="9"/>
      <c r="AA40" s="292"/>
      <c r="AB40" s="292"/>
      <c r="AC40" s="292"/>
      <c r="AD40" s="292"/>
      <c r="AE40" s="12"/>
      <c r="AF40" s="91"/>
      <c r="AG40" s="123"/>
      <c r="AH40" s="122"/>
      <c r="AI40" s="928"/>
    </row>
    <row r="41" spans="2:38" ht="62" customHeight="1">
      <c r="B41" s="9"/>
      <c r="C41" s="933"/>
      <c r="D41" s="934"/>
      <c r="E41" s="934"/>
      <c r="F41" s="935"/>
      <c r="G41" s="12"/>
      <c r="H41" s="173"/>
      <c r="I41" s="82"/>
      <c r="J41" s="768">
        <v>2.2999999999999998</v>
      </c>
      <c r="K41" s="793" t="s">
        <v>394</v>
      </c>
      <c r="L41" s="794"/>
      <c r="M41" s="795"/>
      <c r="N41" s="10"/>
      <c r="O41" s="771" t="s">
        <v>372</v>
      </c>
      <c r="P41" s="860"/>
      <c r="Q41" s="772"/>
      <c r="R41" s="134" t="b">
        <v>0</v>
      </c>
      <c r="S41" s="10"/>
      <c r="T41" s="829" t="s">
        <v>80</v>
      </c>
      <c r="U41" s="830"/>
      <c r="V41" s="830"/>
      <c r="W41" s="831"/>
      <c r="X41" s="12"/>
      <c r="Y41" s="173"/>
      <c r="Z41" s="9"/>
      <c r="AA41" s="837" t="str" cm="1">
        <f t="array" ref="AA41">IF(OR(AG41:AG44, AG45),
    IF(AG45, Feedback_List!B67,
        IF(AND(AG41, AG42, AG43, AG44), "",
            _xlfn.TEXTJOIN(CHAR(10), TRUE,
                AK41,
                _xlfn._xlws.FILTER(AL41:AL44, NOT(AG41:AG44)))
        )
    ),
    "")</f>
        <v/>
      </c>
      <c r="AB41" s="838"/>
      <c r="AC41" s="838"/>
      <c r="AD41" s="839"/>
      <c r="AE41" s="12"/>
      <c r="AF41" s="91"/>
      <c r="AG41" s="123">
        <f>IF(R41, 1, 0)</f>
        <v>0</v>
      </c>
      <c r="AH41" s="122">
        <f>IF(AG41,2,0)</f>
        <v>0</v>
      </c>
      <c r="AI41" s="928"/>
      <c r="AK41" s="120" t="s">
        <v>803</v>
      </c>
      <c r="AL41" s="124" t="s">
        <v>808</v>
      </c>
    </row>
    <row r="42" spans="2:38" ht="62" customHeight="1">
      <c r="B42" s="9"/>
      <c r="C42" s="933"/>
      <c r="D42" s="934"/>
      <c r="E42" s="934"/>
      <c r="F42" s="935"/>
      <c r="G42" s="12"/>
      <c r="H42" s="173"/>
      <c r="I42" s="82"/>
      <c r="J42" s="769"/>
      <c r="K42" s="796"/>
      <c r="L42" s="797"/>
      <c r="M42" s="798"/>
      <c r="N42" s="10"/>
      <c r="O42" s="771" t="s">
        <v>373</v>
      </c>
      <c r="P42" s="860"/>
      <c r="Q42" s="772"/>
      <c r="R42" s="134" t="b">
        <v>0</v>
      </c>
      <c r="S42" s="10"/>
      <c r="T42" s="832"/>
      <c r="U42" s="833"/>
      <c r="V42" s="833"/>
      <c r="W42" s="834"/>
      <c r="X42" s="12"/>
      <c r="Y42" s="173"/>
      <c r="Z42" s="9"/>
      <c r="AA42" s="840"/>
      <c r="AB42" s="841"/>
      <c r="AC42" s="841"/>
      <c r="AD42" s="842"/>
      <c r="AE42" s="12"/>
      <c r="AF42" s="91"/>
      <c r="AG42" s="123">
        <f t="shared" ref="AG42:AG45" si="5">IF(R42, 1, 0)</f>
        <v>0</v>
      </c>
      <c r="AH42" s="122">
        <f t="shared" ref="AH42:AH44" si="6">IF(AG42,2,0)</f>
        <v>0</v>
      </c>
      <c r="AI42" s="928"/>
      <c r="AL42" s="124" t="s">
        <v>809</v>
      </c>
    </row>
    <row r="43" spans="2:38" ht="62" customHeight="1">
      <c r="B43" s="9"/>
      <c r="C43" s="933"/>
      <c r="D43" s="934"/>
      <c r="E43" s="934"/>
      <c r="F43" s="935"/>
      <c r="G43" s="12"/>
      <c r="H43" s="173"/>
      <c r="I43" s="82"/>
      <c r="J43" s="769"/>
      <c r="K43" s="796"/>
      <c r="L43" s="797"/>
      <c r="M43" s="798"/>
      <c r="N43" s="10"/>
      <c r="O43" s="771" t="s">
        <v>374</v>
      </c>
      <c r="P43" s="860"/>
      <c r="Q43" s="772"/>
      <c r="R43" s="134" t="b">
        <v>0</v>
      </c>
      <c r="S43" s="10"/>
      <c r="T43" s="832"/>
      <c r="U43" s="833"/>
      <c r="V43" s="833"/>
      <c r="W43" s="834"/>
      <c r="X43" s="12"/>
      <c r="Y43" s="173"/>
      <c r="Z43" s="9"/>
      <c r="AA43" s="840"/>
      <c r="AB43" s="841"/>
      <c r="AC43" s="841"/>
      <c r="AD43" s="842"/>
      <c r="AE43" s="12"/>
      <c r="AF43" s="91"/>
      <c r="AG43" s="123">
        <f t="shared" si="5"/>
        <v>0</v>
      </c>
      <c r="AH43" s="122">
        <f t="shared" si="6"/>
        <v>0</v>
      </c>
      <c r="AI43" s="928"/>
      <c r="AL43" s="124" t="s">
        <v>810</v>
      </c>
    </row>
    <row r="44" spans="2:38" ht="62" customHeight="1">
      <c r="B44" s="9"/>
      <c r="C44" s="933"/>
      <c r="D44" s="934"/>
      <c r="E44" s="934"/>
      <c r="F44" s="935"/>
      <c r="G44" s="12"/>
      <c r="H44" s="173"/>
      <c r="I44" s="82"/>
      <c r="J44" s="769"/>
      <c r="K44" s="796"/>
      <c r="L44" s="797"/>
      <c r="M44" s="798"/>
      <c r="N44" s="10"/>
      <c r="O44" s="771" t="s">
        <v>375</v>
      </c>
      <c r="P44" s="860"/>
      <c r="Q44" s="772"/>
      <c r="R44" s="134" t="b">
        <v>0</v>
      </c>
      <c r="S44" s="10"/>
      <c r="T44" s="832"/>
      <c r="U44" s="833"/>
      <c r="V44" s="833"/>
      <c r="W44" s="834"/>
      <c r="X44" s="12"/>
      <c r="Y44" s="173"/>
      <c r="Z44" s="9"/>
      <c r="AA44" s="840"/>
      <c r="AB44" s="841"/>
      <c r="AC44" s="841"/>
      <c r="AD44" s="842"/>
      <c r="AE44" s="12"/>
      <c r="AF44" s="91"/>
      <c r="AG44" s="123">
        <f t="shared" si="5"/>
        <v>0</v>
      </c>
      <c r="AH44" s="122">
        <f t="shared" si="6"/>
        <v>0</v>
      </c>
      <c r="AI44" s="928"/>
      <c r="AL44" s="124" t="s">
        <v>811</v>
      </c>
    </row>
    <row r="45" spans="2:38" ht="62" customHeight="1">
      <c r="B45" s="9"/>
      <c r="C45" s="933"/>
      <c r="D45" s="934"/>
      <c r="E45" s="934"/>
      <c r="F45" s="935"/>
      <c r="G45" s="12"/>
      <c r="H45" s="173"/>
      <c r="I45" s="82"/>
      <c r="J45" s="769"/>
      <c r="K45" s="796"/>
      <c r="L45" s="797"/>
      <c r="M45" s="798"/>
      <c r="N45" s="10"/>
      <c r="O45" s="771" t="s">
        <v>371</v>
      </c>
      <c r="P45" s="860"/>
      <c r="Q45" s="772"/>
      <c r="R45" s="134" t="b">
        <v>0</v>
      </c>
      <c r="S45" s="10"/>
      <c r="T45" s="832"/>
      <c r="U45" s="833"/>
      <c r="V45" s="833"/>
      <c r="W45" s="834"/>
      <c r="X45" s="12"/>
      <c r="Y45" s="173"/>
      <c r="Z45" s="9"/>
      <c r="AA45" s="840"/>
      <c r="AB45" s="841"/>
      <c r="AC45" s="841"/>
      <c r="AD45" s="842"/>
      <c r="AE45" s="12"/>
      <c r="AF45" s="91"/>
      <c r="AG45" s="123">
        <f t="shared" si="5"/>
        <v>0</v>
      </c>
      <c r="AH45" s="122"/>
      <c r="AI45" s="928"/>
    </row>
    <row r="46" spans="2:38" ht="62" customHeight="1">
      <c r="B46" s="9"/>
      <c r="C46" s="933"/>
      <c r="D46" s="934"/>
      <c r="E46" s="934"/>
      <c r="F46" s="935"/>
      <c r="G46" s="12"/>
      <c r="H46" s="173"/>
      <c r="I46" s="82"/>
      <c r="J46" s="770"/>
      <c r="K46" s="799"/>
      <c r="L46" s="800"/>
      <c r="M46" s="801"/>
      <c r="N46" s="10"/>
      <c r="O46" s="771" t="s">
        <v>196</v>
      </c>
      <c r="P46" s="860"/>
      <c r="Q46" s="772"/>
      <c r="R46" s="134" t="b">
        <v>0</v>
      </c>
      <c r="S46" s="10"/>
      <c r="T46" s="835"/>
      <c r="U46" s="701"/>
      <c r="V46" s="701"/>
      <c r="W46" s="836"/>
      <c r="X46" s="12"/>
      <c r="Y46" s="173"/>
      <c r="Z46" s="9"/>
      <c r="AA46" s="843"/>
      <c r="AB46" s="844"/>
      <c r="AC46" s="844"/>
      <c r="AD46" s="845"/>
      <c r="AE46" s="12"/>
      <c r="AF46" s="91"/>
      <c r="AG46" s="123"/>
      <c r="AH46" s="122"/>
      <c r="AI46" s="928"/>
    </row>
    <row r="47" spans="2:38">
      <c r="B47" s="82"/>
      <c r="C47" s="933"/>
      <c r="D47" s="934"/>
      <c r="E47" s="934"/>
      <c r="F47" s="935"/>
      <c r="G47" s="83"/>
      <c r="H47" s="177"/>
      <c r="I47" s="82"/>
      <c r="J47" s="65"/>
      <c r="K47" s="232"/>
      <c r="L47" s="232"/>
      <c r="M47" s="232"/>
      <c r="N47"/>
      <c r="O47" s="10"/>
      <c r="P47" s="18"/>
      <c r="Q47" s="18"/>
      <c r="R47" s="18"/>
      <c r="S47"/>
      <c r="T47" s="10"/>
      <c r="U47" s="10"/>
      <c r="V47" s="10"/>
      <c r="W47" s="10"/>
      <c r="X47" s="83"/>
      <c r="Y47" s="177"/>
      <c r="Z47" s="82"/>
      <c r="AA47" s="324"/>
      <c r="AB47" s="324"/>
      <c r="AC47" s="324"/>
      <c r="AD47" s="324"/>
      <c r="AE47" s="83"/>
      <c r="AG47" s="123"/>
      <c r="AH47" s="122"/>
      <c r="AI47" s="928"/>
    </row>
    <row r="48" spans="2:38" ht="41" customHeight="1">
      <c r="B48" s="9"/>
      <c r="C48" s="933"/>
      <c r="D48" s="934"/>
      <c r="E48" s="934"/>
      <c r="F48" s="935"/>
      <c r="G48" s="12"/>
      <c r="H48" s="173"/>
      <c r="I48" s="82"/>
      <c r="J48" s="768">
        <v>2.4</v>
      </c>
      <c r="K48" s="793" t="s">
        <v>393</v>
      </c>
      <c r="L48" s="794"/>
      <c r="M48" s="795"/>
      <c r="N48" s="10"/>
      <c r="O48" s="771" t="s">
        <v>376</v>
      </c>
      <c r="P48" s="860"/>
      <c r="Q48" s="772"/>
      <c r="R48" s="134" t="b">
        <v>0</v>
      </c>
      <c r="S48" s="10"/>
      <c r="T48" s="829" t="s">
        <v>80</v>
      </c>
      <c r="U48" s="830"/>
      <c r="V48" s="830"/>
      <c r="W48" s="831"/>
      <c r="X48" s="12"/>
      <c r="Y48" s="173"/>
      <c r="Z48" s="9"/>
      <c r="AA48" s="837" t="str" cm="1">
        <f t="array" ref="AA48">IF(OR(AG48:AG50, AG53),
    IF(AG53, Feedback_List!B68,
        IF(AND(AG48, AG49, AG50), "",
            _xlfn.TEXTJOIN(CHAR(10), TRUE,
                AK48,
                _xlfn._xlws.FILTER(AL48:AL50, NOT(AG48:AG50)))
        )
    ),
    "")</f>
        <v/>
      </c>
      <c r="AB48" s="838"/>
      <c r="AC48" s="838"/>
      <c r="AD48" s="839"/>
      <c r="AE48" s="12"/>
      <c r="AF48" s="91"/>
      <c r="AG48" s="123">
        <f>IF(R48, 1, 0)</f>
        <v>0</v>
      </c>
      <c r="AH48" s="122">
        <f>IF(AG48,2,0)</f>
        <v>0</v>
      </c>
      <c r="AI48" s="928"/>
      <c r="AK48" s="120" t="s">
        <v>812</v>
      </c>
      <c r="AL48" s="124" t="s">
        <v>813</v>
      </c>
    </row>
    <row r="49" spans="2:38" ht="41" customHeight="1">
      <c r="B49" s="9"/>
      <c r="C49" s="933"/>
      <c r="D49" s="934"/>
      <c r="E49" s="934"/>
      <c r="F49" s="935"/>
      <c r="G49" s="12"/>
      <c r="H49" s="173"/>
      <c r="I49" s="82"/>
      <c r="J49" s="769"/>
      <c r="K49" s="796"/>
      <c r="L49" s="797"/>
      <c r="M49" s="798"/>
      <c r="N49" s="10"/>
      <c r="O49" s="771" t="s">
        <v>377</v>
      </c>
      <c r="P49" s="860"/>
      <c r="Q49" s="772"/>
      <c r="R49" s="134" t="b">
        <v>0</v>
      </c>
      <c r="S49" s="10"/>
      <c r="T49" s="832"/>
      <c r="U49" s="833"/>
      <c r="V49" s="833"/>
      <c r="W49" s="834"/>
      <c r="X49" s="12"/>
      <c r="Y49" s="173"/>
      <c r="Z49" s="9"/>
      <c r="AA49" s="840"/>
      <c r="AB49" s="841"/>
      <c r="AC49" s="841"/>
      <c r="AD49" s="842"/>
      <c r="AE49" s="12"/>
      <c r="AF49" s="91"/>
      <c r="AG49" s="123">
        <f t="shared" ref="AG49:AG53" si="7">IF(R49, 1, 0)</f>
        <v>0</v>
      </c>
      <c r="AH49" s="122">
        <f t="shared" ref="AH49:AH51" si="8">IF(AG49,2,0)</f>
        <v>0</v>
      </c>
      <c r="AI49" s="928"/>
      <c r="AL49" s="124" t="s">
        <v>814</v>
      </c>
    </row>
    <row r="50" spans="2:38" ht="41" customHeight="1">
      <c r="B50" s="9"/>
      <c r="C50" s="933"/>
      <c r="D50" s="934"/>
      <c r="E50" s="934"/>
      <c r="F50" s="935"/>
      <c r="G50" s="12"/>
      <c r="H50" s="173"/>
      <c r="I50" s="82"/>
      <c r="J50" s="769"/>
      <c r="K50" s="796"/>
      <c r="L50" s="797"/>
      <c r="M50" s="798"/>
      <c r="N50" s="10"/>
      <c r="O50" s="771" t="s">
        <v>378</v>
      </c>
      <c r="P50" s="860"/>
      <c r="Q50" s="772"/>
      <c r="R50" s="134" t="b">
        <v>0</v>
      </c>
      <c r="S50" s="10"/>
      <c r="T50" s="832"/>
      <c r="U50" s="833"/>
      <c r="V50" s="833"/>
      <c r="W50" s="834"/>
      <c r="X50" s="12"/>
      <c r="Y50" s="173"/>
      <c r="Z50" s="9"/>
      <c r="AA50" s="840"/>
      <c r="AB50" s="841"/>
      <c r="AC50" s="841"/>
      <c r="AD50" s="842"/>
      <c r="AE50" s="12"/>
      <c r="AF50" s="91"/>
      <c r="AG50" s="123">
        <f t="shared" si="7"/>
        <v>0</v>
      </c>
      <c r="AH50" s="122">
        <f t="shared" si="8"/>
        <v>0</v>
      </c>
      <c r="AI50" s="928"/>
      <c r="AL50" s="124" t="s">
        <v>815</v>
      </c>
    </row>
    <row r="51" spans="2:38" ht="41" customHeight="1">
      <c r="B51" s="9"/>
      <c r="C51" s="933"/>
      <c r="D51" s="934"/>
      <c r="E51" s="934"/>
      <c r="F51" s="935"/>
      <c r="G51" s="12"/>
      <c r="H51" s="173"/>
      <c r="I51" s="82"/>
      <c r="J51" s="769"/>
      <c r="K51" s="796"/>
      <c r="L51" s="797"/>
      <c r="M51" s="798"/>
      <c r="N51" s="10"/>
      <c r="O51" s="771" t="s">
        <v>379</v>
      </c>
      <c r="P51" s="860"/>
      <c r="Q51" s="772"/>
      <c r="R51" s="134" t="b">
        <v>0</v>
      </c>
      <c r="S51" s="10"/>
      <c r="T51" s="832"/>
      <c r="U51" s="833"/>
      <c r="V51" s="833"/>
      <c r="W51" s="834"/>
      <c r="X51" s="12"/>
      <c r="Y51" s="173"/>
      <c r="Z51" s="9"/>
      <c r="AA51" s="840"/>
      <c r="AB51" s="841"/>
      <c r="AC51" s="841"/>
      <c r="AD51" s="842"/>
      <c r="AE51" s="12"/>
      <c r="AF51" s="91"/>
      <c r="AG51" s="123">
        <f t="shared" si="7"/>
        <v>0</v>
      </c>
      <c r="AH51" s="122">
        <f t="shared" si="8"/>
        <v>0</v>
      </c>
      <c r="AI51" s="928"/>
    </row>
    <row r="52" spans="2:38" ht="41" customHeight="1">
      <c r="B52" s="9"/>
      <c r="C52" s="933"/>
      <c r="D52" s="934"/>
      <c r="E52" s="934"/>
      <c r="F52" s="935"/>
      <c r="G52" s="12"/>
      <c r="H52" s="173"/>
      <c r="I52" s="82"/>
      <c r="J52" s="769"/>
      <c r="K52" s="796"/>
      <c r="L52" s="797"/>
      <c r="M52" s="798"/>
      <c r="N52" s="10"/>
      <c r="O52" s="771" t="s">
        <v>380</v>
      </c>
      <c r="P52" s="860"/>
      <c r="Q52" s="772"/>
      <c r="R52" s="134" t="b">
        <v>0</v>
      </c>
      <c r="S52" s="10"/>
      <c r="T52" s="832"/>
      <c r="U52" s="833"/>
      <c r="V52" s="833"/>
      <c r="W52" s="834"/>
      <c r="X52" s="12"/>
      <c r="Y52" s="173"/>
      <c r="Z52" s="9"/>
      <c r="AA52" s="840"/>
      <c r="AB52" s="841"/>
      <c r="AC52" s="841"/>
      <c r="AD52" s="842"/>
      <c r="AE52" s="12"/>
      <c r="AF52" s="91"/>
      <c r="AG52" s="123">
        <f t="shared" si="7"/>
        <v>0</v>
      </c>
      <c r="AH52" s="122">
        <f>IF(AG52,2,0)</f>
        <v>0</v>
      </c>
      <c r="AI52" s="928"/>
    </row>
    <row r="53" spans="2:38" ht="41" customHeight="1">
      <c r="B53" s="9"/>
      <c r="C53" s="933"/>
      <c r="D53" s="934"/>
      <c r="E53" s="934"/>
      <c r="F53" s="935"/>
      <c r="G53" s="12"/>
      <c r="H53" s="173"/>
      <c r="I53" s="82"/>
      <c r="J53" s="769"/>
      <c r="K53" s="796"/>
      <c r="L53" s="797"/>
      <c r="M53" s="798"/>
      <c r="N53" s="10"/>
      <c r="O53" s="771" t="s">
        <v>371</v>
      </c>
      <c r="P53" s="860"/>
      <c r="Q53" s="772"/>
      <c r="R53" s="134" t="b">
        <v>0</v>
      </c>
      <c r="S53" s="10"/>
      <c r="T53" s="832"/>
      <c r="U53" s="833"/>
      <c r="V53" s="833"/>
      <c r="W53" s="834"/>
      <c r="X53" s="12"/>
      <c r="Y53" s="173"/>
      <c r="Z53" s="9"/>
      <c r="AA53" s="840"/>
      <c r="AB53" s="841"/>
      <c r="AC53" s="841"/>
      <c r="AD53" s="842"/>
      <c r="AE53" s="12"/>
      <c r="AF53" s="91"/>
      <c r="AG53" s="123">
        <f t="shared" si="7"/>
        <v>0</v>
      </c>
      <c r="AH53" s="122"/>
      <c r="AI53" s="928"/>
    </row>
    <row r="54" spans="2:38" ht="41" customHeight="1">
      <c r="B54" s="9"/>
      <c r="C54" s="933"/>
      <c r="D54" s="934"/>
      <c r="E54" s="934"/>
      <c r="F54" s="935"/>
      <c r="G54" s="12"/>
      <c r="H54" s="173"/>
      <c r="I54" s="82"/>
      <c r="J54" s="770"/>
      <c r="K54" s="799"/>
      <c r="L54" s="800"/>
      <c r="M54" s="801"/>
      <c r="N54" s="10"/>
      <c r="O54" s="771" t="s">
        <v>196</v>
      </c>
      <c r="P54" s="860"/>
      <c r="Q54" s="772"/>
      <c r="R54" s="134" t="b">
        <v>0</v>
      </c>
      <c r="S54" s="10"/>
      <c r="T54" s="835"/>
      <c r="U54" s="701"/>
      <c r="V54" s="701"/>
      <c r="W54" s="836"/>
      <c r="X54" s="12"/>
      <c r="Y54" s="173"/>
      <c r="Z54" s="9"/>
      <c r="AA54" s="843"/>
      <c r="AB54" s="844"/>
      <c r="AC54" s="844"/>
      <c r="AD54" s="845"/>
      <c r="AE54" s="12"/>
      <c r="AF54" s="91"/>
      <c r="AG54" s="123"/>
      <c r="AH54" s="122"/>
      <c r="AI54" s="928"/>
    </row>
    <row r="55" spans="2:38">
      <c r="B55" s="82"/>
      <c r="C55" s="933"/>
      <c r="D55" s="934"/>
      <c r="E55" s="934"/>
      <c r="F55" s="935"/>
      <c r="G55" s="83"/>
      <c r="H55" s="177"/>
      <c r="I55" s="82"/>
      <c r="J55" s="65"/>
      <c r="K55" s="232"/>
      <c r="L55" s="232"/>
      <c r="M55" s="232"/>
      <c r="N55"/>
      <c r="O55" s="10"/>
      <c r="P55" s="18"/>
      <c r="Q55" s="18"/>
      <c r="R55" s="18"/>
      <c r="S55"/>
      <c r="T55" s="10"/>
      <c r="U55" s="10"/>
      <c r="V55" s="10"/>
      <c r="W55" s="10"/>
      <c r="X55" s="83"/>
      <c r="Y55" s="177"/>
      <c r="Z55" s="82"/>
      <c r="AA55" s="324"/>
      <c r="AB55" s="324"/>
      <c r="AC55" s="324"/>
      <c r="AD55" s="324"/>
      <c r="AE55" s="83"/>
      <c r="AG55" s="123"/>
      <c r="AH55" s="122"/>
      <c r="AI55" s="928"/>
    </row>
    <row r="56" spans="2:38" ht="42.5" customHeight="1">
      <c r="B56" s="9"/>
      <c r="C56" s="933"/>
      <c r="D56" s="934"/>
      <c r="E56" s="934"/>
      <c r="F56" s="935"/>
      <c r="G56" s="12"/>
      <c r="H56" s="173"/>
      <c r="I56" s="82"/>
      <c r="J56" s="792">
        <v>2.5</v>
      </c>
      <c r="K56" s="787" t="s">
        <v>392</v>
      </c>
      <c r="L56" s="787"/>
      <c r="M56" s="787"/>
      <c r="N56" s="10"/>
      <c r="O56" s="771" t="s">
        <v>381</v>
      </c>
      <c r="P56" s="860"/>
      <c r="Q56" s="772"/>
      <c r="R56" s="134" t="b">
        <v>0</v>
      </c>
      <c r="S56" s="10"/>
      <c r="T56" s="720" t="s">
        <v>80</v>
      </c>
      <c r="U56" s="720"/>
      <c r="V56" s="720"/>
      <c r="W56" s="720"/>
      <c r="X56" s="12"/>
      <c r="Y56" s="173"/>
      <c r="Z56" s="9"/>
      <c r="AA56" s="926" t="str" cm="1">
        <f t="array" ref="AA56">IF(OR(AG56:AG59, AG60),
    IF(AG60, Feedback_List!B69,
        IF(AND(AG56, AG57, AG58, AG59), "",
            _xlfn.TEXTJOIN(CHAR(10), TRUE,
                AK56,
                _xlfn._xlws.FILTER(AL56:AL59, NOT(AG56:AG59)))
        )
    ),
    "")</f>
        <v/>
      </c>
      <c r="AB56" s="926"/>
      <c r="AC56" s="926"/>
      <c r="AD56" s="926"/>
      <c r="AE56" s="12"/>
      <c r="AF56" s="91"/>
      <c r="AG56" s="123">
        <f>IF(R56, 1, 0)</f>
        <v>0</v>
      </c>
      <c r="AH56" s="122">
        <f>IF(AG56,2,0)</f>
        <v>0</v>
      </c>
      <c r="AI56" s="928"/>
      <c r="AK56" s="120" t="s">
        <v>816</v>
      </c>
      <c r="AL56" s="124" t="s">
        <v>820</v>
      </c>
    </row>
    <row r="57" spans="2:38" ht="42.5" customHeight="1">
      <c r="B57" s="9"/>
      <c r="C57" s="933"/>
      <c r="D57" s="934"/>
      <c r="E57" s="934"/>
      <c r="F57" s="935"/>
      <c r="G57" s="12"/>
      <c r="H57" s="173"/>
      <c r="I57" s="82"/>
      <c r="J57" s="792"/>
      <c r="K57" s="787"/>
      <c r="L57" s="787"/>
      <c r="M57" s="787"/>
      <c r="N57" s="10"/>
      <c r="O57" s="771" t="s">
        <v>382</v>
      </c>
      <c r="P57" s="860"/>
      <c r="Q57" s="772"/>
      <c r="R57" s="134" t="b">
        <v>0</v>
      </c>
      <c r="S57" s="10"/>
      <c r="T57" s="720"/>
      <c r="U57" s="720"/>
      <c r="V57" s="720"/>
      <c r="W57" s="720"/>
      <c r="X57" s="12"/>
      <c r="Y57" s="173"/>
      <c r="Z57" s="9"/>
      <c r="AA57" s="926"/>
      <c r="AB57" s="926"/>
      <c r="AC57" s="926"/>
      <c r="AD57" s="926"/>
      <c r="AE57" s="12"/>
      <c r="AF57" s="91"/>
      <c r="AG57" s="123">
        <f t="shared" ref="AG57:AG60" si="9">IF(R57, 1, 0)</f>
        <v>0</v>
      </c>
      <c r="AH57" s="122">
        <f t="shared" ref="AH57:AH59" si="10">IF(AG57,2,0)</f>
        <v>0</v>
      </c>
      <c r="AI57" s="928"/>
      <c r="AL57" s="124" t="s">
        <v>821</v>
      </c>
    </row>
    <row r="58" spans="2:38" ht="42.5" customHeight="1">
      <c r="B58" s="9"/>
      <c r="C58" s="933"/>
      <c r="D58" s="934"/>
      <c r="E58" s="934"/>
      <c r="F58" s="935"/>
      <c r="G58" s="12"/>
      <c r="H58" s="173"/>
      <c r="I58" s="82"/>
      <c r="J58" s="792"/>
      <c r="K58" s="787"/>
      <c r="L58" s="787"/>
      <c r="M58" s="787"/>
      <c r="N58" s="10"/>
      <c r="O58" s="771" t="s">
        <v>383</v>
      </c>
      <c r="P58" s="860"/>
      <c r="Q58" s="772"/>
      <c r="R58" s="134" t="b">
        <v>0</v>
      </c>
      <c r="S58" s="10"/>
      <c r="T58" s="720"/>
      <c r="U58" s="720"/>
      <c r="V58" s="720"/>
      <c r="W58" s="720"/>
      <c r="X58" s="12"/>
      <c r="Y58" s="173"/>
      <c r="Z58" s="9"/>
      <c r="AA58" s="926"/>
      <c r="AB58" s="926"/>
      <c r="AC58" s="926"/>
      <c r="AD58" s="926"/>
      <c r="AE58" s="12"/>
      <c r="AF58" s="91"/>
      <c r="AG58" s="123">
        <f t="shared" si="9"/>
        <v>0</v>
      </c>
      <c r="AH58" s="122">
        <f t="shared" si="10"/>
        <v>0</v>
      </c>
      <c r="AI58" s="928"/>
      <c r="AL58" s="124" t="s">
        <v>822</v>
      </c>
    </row>
    <row r="59" spans="2:38" ht="42.5" customHeight="1">
      <c r="B59" s="9"/>
      <c r="C59" s="933"/>
      <c r="D59" s="934"/>
      <c r="E59" s="934"/>
      <c r="F59" s="935"/>
      <c r="G59" s="12"/>
      <c r="H59" s="173"/>
      <c r="I59" s="82"/>
      <c r="J59" s="792"/>
      <c r="K59" s="787"/>
      <c r="L59" s="787"/>
      <c r="M59" s="787"/>
      <c r="N59" s="10"/>
      <c r="O59" s="771" t="s">
        <v>384</v>
      </c>
      <c r="P59" s="860"/>
      <c r="Q59" s="772"/>
      <c r="R59" s="134" t="b">
        <v>0</v>
      </c>
      <c r="S59" s="10"/>
      <c r="T59" s="720"/>
      <c r="U59" s="720"/>
      <c r="V59" s="720"/>
      <c r="W59" s="720"/>
      <c r="X59" s="12"/>
      <c r="Y59" s="173"/>
      <c r="Z59" s="9"/>
      <c r="AA59" s="926"/>
      <c r="AB59" s="926"/>
      <c r="AC59" s="926"/>
      <c r="AD59" s="926"/>
      <c r="AE59" s="12"/>
      <c r="AF59" s="91"/>
      <c r="AG59" s="123">
        <f t="shared" si="9"/>
        <v>0</v>
      </c>
      <c r="AH59" s="122">
        <f t="shared" si="10"/>
        <v>0</v>
      </c>
      <c r="AI59" s="928"/>
      <c r="AL59" s="124" t="s">
        <v>823</v>
      </c>
    </row>
    <row r="60" spans="2:38" ht="42.5" customHeight="1">
      <c r="B60" s="9"/>
      <c r="C60" s="933"/>
      <c r="D60" s="934"/>
      <c r="E60" s="934"/>
      <c r="F60" s="935"/>
      <c r="G60" s="12"/>
      <c r="H60" s="173"/>
      <c r="I60" s="82"/>
      <c r="J60" s="792"/>
      <c r="K60" s="787"/>
      <c r="L60" s="787"/>
      <c r="M60" s="787"/>
      <c r="N60" s="10"/>
      <c r="O60" s="771" t="s">
        <v>371</v>
      </c>
      <c r="P60" s="860"/>
      <c r="Q60" s="772"/>
      <c r="R60" s="134" t="b">
        <v>0</v>
      </c>
      <c r="S60" s="10"/>
      <c r="T60" s="720"/>
      <c r="U60" s="720"/>
      <c r="V60" s="720"/>
      <c r="W60" s="720"/>
      <c r="X60" s="12"/>
      <c r="Y60" s="173"/>
      <c r="Z60" s="9"/>
      <c r="AA60" s="926"/>
      <c r="AB60" s="926"/>
      <c r="AC60" s="926"/>
      <c r="AD60" s="926"/>
      <c r="AE60" s="12"/>
      <c r="AF60" s="91"/>
      <c r="AG60" s="123">
        <f t="shared" si="9"/>
        <v>0</v>
      </c>
      <c r="AH60" s="122"/>
      <c r="AI60" s="928"/>
    </row>
    <row r="61" spans="2:38" ht="42.5" customHeight="1">
      <c r="B61" s="9"/>
      <c r="C61" s="933"/>
      <c r="D61" s="934"/>
      <c r="E61" s="934"/>
      <c r="F61" s="935"/>
      <c r="G61" s="12"/>
      <c r="H61" s="173"/>
      <c r="I61" s="82"/>
      <c r="J61" s="792"/>
      <c r="K61" s="787"/>
      <c r="L61" s="787"/>
      <c r="M61" s="787"/>
      <c r="N61" s="10"/>
      <c r="O61" s="771" t="s">
        <v>196</v>
      </c>
      <c r="P61" s="860"/>
      <c r="Q61" s="772"/>
      <c r="R61" s="134" t="b">
        <v>0</v>
      </c>
      <c r="S61" s="10"/>
      <c r="T61" s="720"/>
      <c r="U61" s="720"/>
      <c r="V61" s="720"/>
      <c r="W61" s="720"/>
      <c r="X61" s="12"/>
      <c r="Y61" s="173"/>
      <c r="Z61" s="9"/>
      <c r="AA61" s="926"/>
      <c r="AB61" s="926"/>
      <c r="AC61" s="926"/>
      <c r="AD61" s="926"/>
      <c r="AE61" s="12"/>
      <c r="AF61" s="91"/>
      <c r="AG61" s="123"/>
      <c r="AH61" s="122"/>
      <c r="AI61" s="928"/>
    </row>
    <row r="62" spans="2:38">
      <c r="B62" s="82"/>
      <c r="C62" s="933"/>
      <c r="D62" s="934"/>
      <c r="E62" s="934"/>
      <c r="F62" s="935"/>
      <c r="G62" s="83"/>
      <c r="H62" s="177"/>
      <c r="I62" s="82"/>
      <c r="J62" s="65"/>
      <c r="K62" s="232"/>
      <c r="L62" s="232"/>
      <c r="M62" s="232"/>
      <c r="N62"/>
      <c r="O62" s="10"/>
      <c r="P62" s="18"/>
      <c r="Q62" s="18"/>
      <c r="R62" s="18"/>
      <c r="S62"/>
      <c r="T62" s="10"/>
      <c r="U62" s="10"/>
      <c r="V62" s="10"/>
      <c r="W62" s="10"/>
      <c r="X62" s="83"/>
      <c r="Y62" s="177"/>
      <c r="Z62" s="82"/>
      <c r="AA62" s="324"/>
      <c r="AB62" s="324"/>
      <c r="AC62" s="324"/>
      <c r="AD62" s="324"/>
      <c r="AE62" s="83"/>
      <c r="AG62" s="123"/>
      <c r="AH62" s="122"/>
      <c r="AI62" s="928"/>
    </row>
    <row r="63" spans="2:38" ht="55.5" customHeight="1">
      <c r="B63" s="9"/>
      <c r="C63" s="933"/>
      <c r="D63" s="934"/>
      <c r="E63" s="934"/>
      <c r="F63" s="935"/>
      <c r="G63" s="12"/>
      <c r="H63" s="173"/>
      <c r="I63" s="82"/>
      <c r="J63" s="792">
        <v>2.6</v>
      </c>
      <c r="K63" s="787" t="s">
        <v>391</v>
      </c>
      <c r="L63" s="787"/>
      <c r="M63" s="787"/>
      <c r="N63" s="10"/>
      <c r="O63" s="771" t="s">
        <v>386</v>
      </c>
      <c r="P63" s="860"/>
      <c r="Q63" s="772"/>
      <c r="R63" s="134" t="b">
        <v>0</v>
      </c>
      <c r="S63" s="10"/>
      <c r="T63" s="720" t="s">
        <v>80</v>
      </c>
      <c r="U63" s="720"/>
      <c r="V63" s="720"/>
      <c r="W63" s="720"/>
      <c r="X63" s="12"/>
      <c r="Y63" s="173"/>
      <c r="Z63" s="9"/>
      <c r="AA63" s="926" t="str" cm="1">
        <f t="array" ref="AA63">IF(OR(AG63:AG66, AG67),
    IF(AG67, Feedback_List!B70,
        IF(AND(AG63, AG64, AG65, AG66), "",
            _xlfn.TEXTJOIN(CHAR(10), TRUE,
                AK63,
                _xlfn._xlws.FILTER(AL63:AL66, NOT(AG63:AG66)))
        )
    ),
    "")</f>
        <v/>
      </c>
      <c r="AB63" s="926"/>
      <c r="AC63" s="926"/>
      <c r="AD63" s="926"/>
      <c r="AE63" s="12"/>
      <c r="AF63" s="91"/>
      <c r="AG63" s="123">
        <f>IF(R63, 1, 0)</f>
        <v>0</v>
      </c>
      <c r="AH63" s="122">
        <f>IF(AG63,2,0)</f>
        <v>0</v>
      </c>
      <c r="AI63" s="928"/>
      <c r="AK63" s="120" t="s">
        <v>817</v>
      </c>
      <c r="AL63" s="124" t="s">
        <v>824</v>
      </c>
    </row>
    <row r="64" spans="2:38" ht="55.5" customHeight="1">
      <c r="B64" s="9"/>
      <c r="C64" s="933"/>
      <c r="D64" s="934"/>
      <c r="E64" s="934"/>
      <c r="F64" s="935"/>
      <c r="G64" s="12"/>
      <c r="H64" s="173"/>
      <c r="I64" s="82"/>
      <c r="J64" s="792"/>
      <c r="K64" s="787"/>
      <c r="L64" s="787"/>
      <c r="M64" s="787"/>
      <c r="N64" s="10"/>
      <c r="O64" s="771" t="s">
        <v>387</v>
      </c>
      <c r="P64" s="860"/>
      <c r="Q64" s="772"/>
      <c r="R64" s="134" t="b">
        <v>0</v>
      </c>
      <c r="S64" s="10"/>
      <c r="T64" s="720"/>
      <c r="U64" s="720"/>
      <c r="V64" s="720"/>
      <c r="W64" s="720"/>
      <c r="X64" s="12"/>
      <c r="Y64" s="173"/>
      <c r="Z64" s="9"/>
      <c r="AA64" s="926"/>
      <c r="AB64" s="926"/>
      <c r="AC64" s="926"/>
      <c r="AD64" s="926"/>
      <c r="AE64" s="12"/>
      <c r="AF64" s="91"/>
      <c r="AG64" s="123">
        <f t="shared" ref="AG64:AG67" si="11">IF(R64, 1, 0)</f>
        <v>0</v>
      </c>
      <c r="AH64" s="122">
        <f t="shared" ref="AH64:AH66" si="12">IF(AG64,2,0)</f>
        <v>0</v>
      </c>
      <c r="AI64" s="928"/>
      <c r="AL64" s="124" t="s">
        <v>825</v>
      </c>
    </row>
    <row r="65" spans="2:38" ht="55.5" customHeight="1">
      <c r="B65" s="9"/>
      <c r="C65" s="933"/>
      <c r="D65" s="934"/>
      <c r="E65" s="934"/>
      <c r="F65" s="935"/>
      <c r="G65" s="12"/>
      <c r="H65" s="173"/>
      <c r="I65" s="82"/>
      <c r="J65" s="792"/>
      <c r="K65" s="787"/>
      <c r="L65" s="787"/>
      <c r="M65" s="787"/>
      <c r="N65" s="10"/>
      <c r="O65" s="771" t="s">
        <v>388</v>
      </c>
      <c r="P65" s="860"/>
      <c r="Q65" s="772"/>
      <c r="R65" s="134" t="b">
        <v>0</v>
      </c>
      <c r="S65" s="10"/>
      <c r="T65" s="720"/>
      <c r="U65" s="720"/>
      <c r="V65" s="720"/>
      <c r="W65" s="720"/>
      <c r="X65" s="12"/>
      <c r="Y65" s="173"/>
      <c r="Z65" s="9"/>
      <c r="AA65" s="926"/>
      <c r="AB65" s="926"/>
      <c r="AC65" s="926"/>
      <c r="AD65" s="926"/>
      <c r="AE65" s="12"/>
      <c r="AF65" s="91"/>
      <c r="AG65" s="123">
        <f t="shared" si="11"/>
        <v>0</v>
      </c>
      <c r="AH65" s="122">
        <f t="shared" si="12"/>
        <v>0</v>
      </c>
      <c r="AI65" s="928"/>
      <c r="AL65" s="124" t="s">
        <v>826</v>
      </c>
    </row>
    <row r="66" spans="2:38" ht="55.5" customHeight="1">
      <c r="B66" s="9"/>
      <c r="C66" s="933"/>
      <c r="D66" s="934"/>
      <c r="E66" s="934"/>
      <c r="F66" s="935"/>
      <c r="G66" s="12"/>
      <c r="H66" s="173"/>
      <c r="I66" s="82"/>
      <c r="J66" s="792"/>
      <c r="K66" s="787"/>
      <c r="L66" s="787"/>
      <c r="M66" s="787"/>
      <c r="N66" s="10"/>
      <c r="O66" s="771" t="s">
        <v>389</v>
      </c>
      <c r="P66" s="860"/>
      <c r="Q66" s="772"/>
      <c r="R66" s="134" t="b">
        <v>0</v>
      </c>
      <c r="S66" s="10"/>
      <c r="T66" s="720"/>
      <c r="U66" s="720"/>
      <c r="V66" s="720"/>
      <c r="W66" s="720"/>
      <c r="X66" s="12"/>
      <c r="Y66" s="173"/>
      <c r="Z66" s="9"/>
      <c r="AA66" s="926"/>
      <c r="AB66" s="926"/>
      <c r="AC66" s="926"/>
      <c r="AD66" s="926"/>
      <c r="AE66" s="12"/>
      <c r="AF66" s="91"/>
      <c r="AG66" s="123">
        <f t="shared" si="11"/>
        <v>0</v>
      </c>
      <c r="AH66" s="122">
        <f t="shared" si="12"/>
        <v>0</v>
      </c>
      <c r="AI66" s="928"/>
      <c r="AL66" s="124" t="s">
        <v>827</v>
      </c>
    </row>
    <row r="67" spans="2:38" ht="55.5" customHeight="1">
      <c r="B67" s="9"/>
      <c r="C67" s="933"/>
      <c r="D67" s="934"/>
      <c r="E67" s="934"/>
      <c r="F67" s="935"/>
      <c r="G67" s="12"/>
      <c r="H67" s="173"/>
      <c r="I67" s="82"/>
      <c r="J67" s="792"/>
      <c r="K67" s="787"/>
      <c r="L67" s="787"/>
      <c r="M67" s="787"/>
      <c r="N67" s="10"/>
      <c r="O67" s="771" t="s">
        <v>594</v>
      </c>
      <c r="P67" s="860"/>
      <c r="Q67" s="772"/>
      <c r="R67" s="134" t="b">
        <v>0</v>
      </c>
      <c r="S67" s="10"/>
      <c r="T67" s="720"/>
      <c r="U67" s="720"/>
      <c r="V67" s="720"/>
      <c r="W67" s="720"/>
      <c r="X67" s="12"/>
      <c r="Y67" s="173"/>
      <c r="Z67" s="9"/>
      <c r="AA67" s="926"/>
      <c r="AB67" s="926"/>
      <c r="AC67" s="926"/>
      <c r="AD67" s="926"/>
      <c r="AE67" s="12"/>
      <c r="AF67" s="91"/>
      <c r="AG67" s="123">
        <f t="shared" si="11"/>
        <v>0</v>
      </c>
      <c r="AH67" s="122"/>
      <c r="AI67" s="928"/>
    </row>
    <row r="68" spans="2:38" ht="55.5" customHeight="1">
      <c r="B68" s="9"/>
      <c r="C68" s="933"/>
      <c r="D68" s="934"/>
      <c r="E68" s="934"/>
      <c r="F68" s="935"/>
      <c r="G68" s="12"/>
      <c r="H68" s="173"/>
      <c r="I68" s="82"/>
      <c r="J68" s="792"/>
      <c r="K68" s="787"/>
      <c r="L68" s="787"/>
      <c r="M68" s="787"/>
      <c r="N68" s="10"/>
      <c r="O68" s="771" t="s">
        <v>196</v>
      </c>
      <c r="P68" s="860"/>
      <c r="Q68" s="772"/>
      <c r="R68" s="134" t="b">
        <v>0</v>
      </c>
      <c r="S68" s="10"/>
      <c r="T68" s="720"/>
      <c r="U68" s="720"/>
      <c r="V68" s="720"/>
      <c r="W68" s="720"/>
      <c r="X68" s="12"/>
      <c r="Y68" s="173"/>
      <c r="Z68" s="9"/>
      <c r="AA68" s="926"/>
      <c r="AB68" s="926"/>
      <c r="AC68" s="926"/>
      <c r="AD68" s="926"/>
      <c r="AE68" s="12"/>
      <c r="AF68" s="91"/>
      <c r="AG68" s="123"/>
      <c r="AH68" s="122"/>
      <c r="AI68" s="928"/>
    </row>
    <row r="69" spans="2:38">
      <c r="B69" s="82"/>
      <c r="C69" s="933"/>
      <c r="D69" s="934"/>
      <c r="E69" s="934"/>
      <c r="F69" s="935"/>
      <c r="G69" s="83"/>
      <c r="H69" s="177"/>
      <c r="I69" s="82"/>
      <c r="J69" s="65"/>
      <c r="K69" s="232"/>
      <c r="L69" s="232"/>
      <c r="M69" s="232"/>
      <c r="N69"/>
      <c r="O69" s="10"/>
      <c r="P69" s="18"/>
      <c r="Q69" s="18"/>
      <c r="R69" s="18"/>
      <c r="S69"/>
      <c r="T69" s="10"/>
      <c r="U69" s="10"/>
      <c r="V69" s="10"/>
      <c r="W69" s="10"/>
      <c r="X69" s="83"/>
      <c r="Y69" s="177"/>
      <c r="Z69" s="82"/>
      <c r="AA69" s="8"/>
      <c r="AB69" s="324"/>
      <c r="AC69" s="324"/>
      <c r="AD69" s="324"/>
      <c r="AE69" s="83"/>
      <c r="AG69" s="123"/>
      <c r="AH69" s="122"/>
      <c r="AI69" s="928"/>
    </row>
    <row r="70" spans="2:38" ht="46.5" customHeight="1">
      <c r="B70" s="9"/>
      <c r="C70" s="933"/>
      <c r="D70" s="934"/>
      <c r="E70" s="934"/>
      <c r="F70" s="935"/>
      <c r="G70" s="12"/>
      <c r="H70" s="173"/>
      <c r="I70" s="82"/>
      <c r="J70" s="792">
        <v>2.7</v>
      </c>
      <c r="K70" s="787" t="s">
        <v>390</v>
      </c>
      <c r="L70" s="787"/>
      <c r="M70" s="787"/>
      <c r="N70" s="10"/>
      <c r="O70" s="771" t="s">
        <v>397</v>
      </c>
      <c r="P70" s="860"/>
      <c r="Q70" s="772"/>
      <c r="R70" s="134" t="b">
        <v>0</v>
      </c>
      <c r="S70" s="10"/>
      <c r="T70" s="720" t="s">
        <v>80</v>
      </c>
      <c r="U70" s="720"/>
      <c r="V70" s="720"/>
      <c r="W70" s="720"/>
      <c r="X70" s="12"/>
      <c r="Y70" s="173"/>
      <c r="Z70" s="9" t="s">
        <v>452</v>
      </c>
      <c r="AA70" s="926" t="str" cm="1">
        <f t="array" ref="AA70">IF(OR(AG70:AG72, AG74),
    IF(AG74, Feedback_List!B71,
        IF(AND(AG70, AG71, AG72), "",
            _xlfn.TEXTJOIN(CHAR(10), TRUE,
                AK70,
                _xlfn._xlws.FILTER(AL70:AL72, NOT(AG70:AG72)))
        )
    ),
    "")</f>
        <v/>
      </c>
      <c r="AB70" s="926"/>
      <c r="AC70" s="926"/>
      <c r="AD70" s="926"/>
      <c r="AE70" s="12"/>
      <c r="AF70" s="91"/>
      <c r="AG70" s="123">
        <f>IF(R70, 1, 0)</f>
        <v>0</v>
      </c>
      <c r="AH70" s="122">
        <f>IF(AG70,2,0)</f>
        <v>0</v>
      </c>
      <c r="AI70" s="928"/>
      <c r="AK70" s="120" t="s">
        <v>818</v>
      </c>
      <c r="AL70" s="124" t="s">
        <v>815</v>
      </c>
    </row>
    <row r="71" spans="2:38" ht="46.5" customHeight="1">
      <c r="B71" s="9"/>
      <c r="C71" s="933"/>
      <c r="D71" s="934"/>
      <c r="E71" s="934"/>
      <c r="F71" s="935"/>
      <c r="G71" s="12"/>
      <c r="H71" s="173"/>
      <c r="I71" s="82"/>
      <c r="J71" s="792"/>
      <c r="K71" s="787"/>
      <c r="L71" s="787"/>
      <c r="M71" s="787"/>
      <c r="N71" s="10"/>
      <c r="O71" s="771" t="s">
        <v>398</v>
      </c>
      <c r="P71" s="860"/>
      <c r="Q71" s="772"/>
      <c r="R71" s="134" t="b">
        <v>0</v>
      </c>
      <c r="S71" s="10"/>
      <c r="T71" s="720"/>
      <c r="U71" s="720"/>
      <c r="V71" s="720"/>
      <c r="W71" s="720"/>
      <c r="X71" s="12"/>
      <c r="Y71" s="173"/>
      <c r="Z71" s="9"/>
      <c r="AA71" s="926"/>
      <c r="AB71" s="926"/>
      <c r="AC71" s="926"/>
      <c r="AD71" s="926"/>
      <c r="AE71" s="12"/>
      <c r="AF71" s="91"/>
      <c r="AG71" s="123">
        <f t="shared" ref="AG71" si="13">IF(R71, 1, 0)</f>
        <v>0</v>
      </c>
      <c r="AH71" s="122">
        <f t="shared" ref="AH71:AH73" si="14">IF(AG71,2,0)</f>
        <v>0</v>
      </c>
      <c r="AI71" s="928"/>
      <c r="AL71" s="124" t="s">
        <v>828</v>
      </c>
    </row>
    <row r="72" spans="2:38" ht="46.5" customHeight="1">
      <c r="B72" s="9"/>
      <c r="C72" s="933"/>
      <c r="D72" s="934"/>
      <c r="E72" s="934"/>
      <c r="F72" s="935"/>
      <c r="G72" s="12"/>
      <c r="H72" s="173"/>
      <c r="I72" s="82"/>
      <c r="J72" s="792"/>
      <c r="K72" s="787"/>
      <c r="L72" s="787"/>
      <c r="M72" s="787"/>
      <c r="N72" s="10"/>
      <c r="O72" s="771" t="s">
        <v>399</v>
      </c>
      <c r="P72" s="860"/>
      <c r="Q72" s="772"/>
      <c r="R72" s="134" t="b">
        <v>0</v>
      </c>
      <c r="S72" s="10"/>
      <c r="T72" s="720"/>
      <c r="U72" s="720"/>
      <c r="V72" s="720"/>
      <c r="W72" s="720"/>
      <c r="X72" s="12"/>
      <c r="Y72" s="173"/>
      <c r="Z72" s="9"/>
      <c r="AA72" s="926"/>
      <c r="AB72" s="926"/>
      <c r="AC72" s="926"/>
      <c r="AD72" s="926"/>
      <c r="AE72" s="12"/>
      <c r="AF72" s="91"/>
      <c r="AG72" s="123">
        <f>IF(R72, 1, 0)</f>
        <v>0</v>
      </c>
      <c r="AH72" s="122">
        <f t="shared" si="14"/>
        <v>0</v>
      </c>
      <c r="AI72" s="928"/>
      <c r="AL72" s="124" t="s">
        <v>829</v>
      </c>
    </row>
    <row r="73" spans="2:38" ht="46.5" customHeight="1">
      <c r="B73" s="9"/>
      <c r="C73" s="933"/>
      <c r="D73" s="934"/>
      <c r="E73" s="934"/>
      <c r="F73" s="935"/>
      <c r="G73" s="12"/>
      <c r="H73" s="173"/>
      <c r="I73" s="82"/>
      <c r="J73" s="792"/>
      <c r="K73" s="787"/>
      <c r="L73" s="787"/>
      <c r="M73" s="787"/>
      <c r="N73" s="10"/>
      <c r="O73" s="771" t="s">
        <v>400</v>
      </c>
      <c r="P73" s="860"/>
      <c r="Q73" s="772"/>
      <c r="R73" s="134" t="b">
        <v>0</v>
      </c>
      <c r="S73" s="10"/>
      <c r="T73" s="720"/>
      <c r="U73" s="720"/>
      <c r="V73" s="720"/>
      <c r="W73" s="720"/>
      <c r="X73" s="12"/>
      <c r="Y73" s="173"/>
      <c r="Z73" s="9"/>
      <c r="AA73" s="926"/>
      <c r="AB73" s="926"/>
      <c r="AC73" s="926"/>
      <c r="AD73" s="926"/>
      <c r="AE73" s="12"/>
      <c r="AF73" s="91"/>
      <c r="AG73" s="123">
        <f>IF(R73, 1, 0)</f>
        <v>0</v>
      </c>
      <c r="AH73" s="122">
        <f t="shared" si="14"/>
        <v>0</v>
      </c>
      <c r="AI73" s="928"/>
    </row>
    <row r="74" spans="2:38" ht="46.5" customHeight="1">
      <c r="B74" s="9"/>
      <c r="C74" s="933"/>
      <c r="D74" s="934"/>
      <c r="E74" s="934"/>
      <c r="F74" s="935"/>
      <c r="G74" s="12"/>
      <c r="H74" s="173"/>
      <c r="I74" s="82"/>
      <c r="J74" s="792"/>
      <c r="K74" s="787"/>
      <c r="L74" s="787"/>
      <c r="M74" s="787"/>
      <c r="N74" s="10"/>
      <c r="O74" s="771" t="s">
        <v>594</v>
      </c>
      <c r="P74" s="860"/>
      <c r="Q74" s="772"/>
      <c r="R74" s="134" t="b">
        <v>0</v>
      </c>
      <c r="S74" s="10"/>
      <c r="T74" s="720"/>
      <c r="U74" s="720"/>
      <c r="V74" s="720"/>
      <c r="W74" s="720"/>
      <c r="X74" s="12"/>
      <c r="Y74" s="173"/>
      <c r="Z74" s="9"/>
      <c r="AA74" s="926"/>
      <c r="AB74" s="926"/>
      <c r="AC74" s="926"/>
      <c r="AD74" s="926"/>
      <c r="AE74" s="12"/>
      <c r="AF74" s="91"/>
      <c r="AG74" s="123">
        <f>IF(R74, 1, 0)</f>
        <v>0</v>
      </c>
      <c r="AH74" s="122"/>
      <c r="AI74" s="928"/>
    </row>
    <row r="75" spans="2:38" ht="46.5" customHeight="1">
      <c r="B75" s="9"/>
      <c r="C75" s="933"/>
      <c r="D75" s="934"/>
      <c r="E75" s="934"/>
      <c r="F75" s="935"/>
      <c r="G75" s="12"/>
      <c r="H75" s="173"/>
      <c r="I75" s="82"/>
      <c r="J75" s="792"/>
      <c r="K75" s="787"/>
      <c r="L75" s="787"/>
      <c r="M75" s="787"/>
      <c r="N75" s="10"/>
      <c r="O75" s="771" t="s">
        <v>196</v>
      </c>
      <c r="P75" s="860"/>
      <c r="Q75" s="772"/>
      <c r="R75" s="134" t="b">
        <v>0</v>
      </c>
      <c r="S75" s="10"/>
      <c r="T75" s="720"/>
      <c r="U75" s="720"/>
      <c r="V75" s="720"/>
      <c r="W75" s="720"/>
      <c r="X75" s="12"/>
      <c r="Y75" s="173"/>
      <c r="Z75" s="9"/>
      <c r="AA75" s="926"/>
      <c r="AB75" s="926"/>
      <c r="AC75" s="926"/>
      <c r="AD75" s="926"/>
      <c r="AE75" s="12"/>
      <c r="AF75" s="91"/>
      <c r="AG75" s="123"/>
      <c r="AH75" s="122"/>
      <c r="AI75" s="928"/>
    </row>
    <row r="76" spans="2:38">
      <c r="B76" s="82"/>
      <c r="C76" s="933"/>
      <c r="D76" s="934"/>
      <c r="E76" s="934"/>
      <c r="F76" s="935"/>
      <c r="G76" s="83"/>
      <c r="H76" s="177"/>
      <c r="I76" s="82"/>
      <c r="J76" s="65"/>
      <c r="K76" s="232"/>
      <c r="L76" s="232"/>
      <c r="M76" s="232"/>
      <c r="N76"/>
      <c r="O76" s="10"/>
      <c r="P76" s="18"/>
      <c r="Q76" s="18"/>
      <c r="R76" s="18"/>
      <c r="S76"/>
      <c r="T76" s="10"/>
      <c r="U76" s="10"/>
      <c r="V76" s="10"/>
      <c r="W76" s="10"/>
      <c r="X76" s="83"/>
      <c r="Y76" s="177"/>
      <c r="Z76" s="82"/>
      <c r="AA76" s="8"/>
      <c r="AB76" s="324"/>
      <c r="AC76" s="324"/>
      <c r="AD76" s="324"/>
      <c r="AE76" s="83"/>
      <c r="AG76" s="123"/>
      <c r="AH76" s="122"/>
      <c r="AI76" s="928"/>
    </row>
    <row r="77" spans="2:38" ht="39.5" customHeight="1">
      <c r="B77" s="9"/>
      <c r="C77" s="933"/>
      <c r="D77" s="934"/>
      <c r="E77" s="934"/>
      <c r="F77" s="935"/>
      <c r="G77" s="12"/>
      <c r="H77" s="173"/>
      <c r="I77" s="82"/>
      <c r="J77" s="792">
        <v>2.8</v>
      </c>
      <c r="K77" s="787" t="s">
        <v>396</v>
      </c>
      <c r="L77" s="787"/>
      <c r="M77" s="787"/>
      <c r="N77" s="10"/>
      <c r="O77" s="771" t="s">
        <v>401</v>
      </c>
      <c r="P77" s="860"/>
      <c r="Q77" s="772"/>
      <c r="R77" s="134" t="b">
        <v>0</v>
      </c>
      <c r="S77" s="10"/>
      <c r="T77" s="720" t="s">
        <v>80</v>
      </c>
      <c r="U77" s="720"/>
      <c r="V77" s="720"/>
      <c r="W77" s="720"/>
      <c r="X77" s="12"/>
      <c r="Y77" s="173"/>
      <c r="Z77" s="9"/>
      <c r="AA77" s="926" t="str" cm="1">
        <f t="array" ref="AA77">IF(OR(AG77:AG80, AG81),
    IF(AG81, Feedback_List!B72,
        IF(AND(AG77, AG78, AG79, AG80), "",
            _xlfn.TEXTJOIN(CHAR(10), TRUE,
                AK77,
                _xlfn._xlws.FILTER(AL77:AL80, NOT(AG77:AG80)))
        )
    ),
    "")</f>
        <v/>
      </c>
      <c r="AB77" s="926"/>
      <c r="AC77" s="926"/>
      <c r="AD77" s="926"/>
      <c r="AE77" s="12"/>
      <c r="AF77" s="91"/>
      <c r="AG77" s="123">
        <f>IF(R77, 1, 0)</f>
        <v>0</v>
      </c>
      <c r="AH77" s="122">
        <f>IF(AG77,2,0)</f>
        <v>0</v>
      </c>
      <c r="AI77" s="928"/>
      <c r="AK77" s="120" t="s">
        <v>819</v>
      </c>
      <c r="AL77" s="124" t="s">
        <v>830</v>
      </c>
    </row>
    <row r="78" spans="2:38" ht="39.5" customHeight="1">
      <c r="B78" s="9"/>
      <c r="C78" s="933"/>
      <c r="D78" s="934"/>
      <c r="E78" s="934"/>
      <c r="F78" s="935"/>
      <c r="G78" s="12"/>
      <c r="H78" s="173"/>
      <c r="I78" s="82"/>
      <c r="J78" s="792"/>
      <c r="K78" s="787"/>
      <c r="L78" s="787"/>
      <c r="M78" s="787"/>
      <c r="N78" s="10"/>
      <c r="O78" s="771" t="s">
        <v>402</v>
      </c>
      <c r="P78" s="860"/>
      <c r="Q78" s="772"/>
      <c r="R78" s="134" t="b">
        <v>0</v>
      </c>
      <c r="S78" s="10"/>
      <c r="T78" s="720"/>
      <c r="U78" s="720"/>
      <c r="V78" s="720"/>
      <c r="W78" s="720"/>
      <c r="X78" s="12"/>
      <c r="Y78" s="173"/>
      <c r="Z78" s="9"/>
      <c r="AA78" s="926"/>
      <c r="AB78" s="926"/>
      <c r="AC78" s="926"/>
      <c r="AD78" s="926"/>
      <c r="AE78" s="12"/>
      <c r="AF78" s="91"/>
      <c r="AG78" s="123">
        <f t="shared" ref="AG78:AG81" si="15">IF(R78, 1, 0)</f>
        <v>0</v>
      </c>
      <c r="AH78" s="122">
        <f t="shared" ref="AH78:AH80" si="16">IF(AG78,2,0)</f>
        <v>0</v>
      </c>
      <c r="AI78" s="928"/>
      <c r="AL78" s="124" t="s">
        <v>831</v>
      </c>
    </row>
    <row r="79" spans="2:38" ht="39.5" customHeight="1">
      <c r="B79" s="9"/>
      <c r="C79" s="933"/>
      <c r="D79" s="934"/>
      <c r="E79" s="934"/>
      <c r="F79" s="935"/>
      <c r="G79" s="12"/>
      <c r="H79" s="173"/>
      <c r="I79" s="82"/>
      <c r="J79" s="792"/>
      <c r="K79" s="787"/>
      <c r="L79" s="787"/>
      <c r="M79" s="787"/>
      <c r="N79" s="10"/>
      <c r="O79" s="771" t="s">
        <v>403</v>
      </c>
      <c r="P79" s="860"/>
      <c r="Q79" s="772"/>
      <c r="R79" s="134" t="b">
        <v>0</v>
      </c>
      <c r="S79" s="10"/>
      <c r="T79" s="720"/>
      <c r="U79" s="720"/>
      <c r="V79" s="720"/>
      <c r="W79" s="720"/>
      <c r="X79" s="12"/>
      <c r="Y79" s="173"/>
      <c r="Z79" s="9"/>
      <c r="AA79" s="926"/>
      <c r="AB79" s="926"/>
      <c r="AC79" s="926"/>
      <c r="AD79" s="926"/>
      <c r="AE79" s="12"/>
      <c r="AF79" s="91"/>
      <c r="AG79" s="123">
        <f t="shared" si="15"/>
        <v>0</v>
      </c>
      <c r="AH79" s="122">
        <f t="shared" si="16"/>
        <v>0</v>
      </c>
      <c r="AI79" s="928"/>
      <c r="AL79" s="124" t="s">
        <v>832</v>
      </c>
    </row>
    <row r="80" spans="2:38" ht="39.5" customHeight="1">
      <c r="B80" s="9"/>
      <c r="C80" s="933"/>
      <c r="D80" s="934"/>
      <c r="E80" s="934"/>
      <c r="F80" s="935"/>
      <c r="G80" s="12"/>
      <c r="H80" s="173"/>
      <c r="I80" s="82"/>
      <c r="J80" s="792"/>
      <c r="K80" s="787"/>
      <c r="L80" s="787"/>
      <c r="M80" s="787"/>
      <c r="N80" s="10"/>
      <c r="O80" s="771" t="s">
        <v>404</v>
      </c>
      <c r="P80" s="860"/>
      <c r="Q80" s="772"/>
      <c r="R80" s="134" t="b">
        <v>0</v>
      </c>
      <c r="S80" s="10"/>
      <c r="T80" s="720"/>
      <c r="U80" s="720"/>
      <c r="V80" s="720"/>
      <c r="W80" s="720"/>
      <c r="X80" s="12"/>
      <c r="Y80" s="173"/>
      <c r="Z80" s="9"/>
      <c r="AA80" s="926"/>
      <c r="AB80" s="926"/>
      <c r="AC80" s="926"/>
      <c r="AD80" s="926"/>
      <c r="AE80" s="12"/>
      <c r="AF80" s="91"/>
      <c r="AG80" s="123">
        <f t="shared" si="15"/>
        <v>0</v>
      </c>
      <c r="AH80" s="122">
        <f t="shared" si="16"/>
        <v>0</v>
      </c>
      <c r="AI80" s="928"/>
      <c r="AL80" s="124" t="s">
        <v>833</v>
      </c>
    </row>
    <row r="81" spans="2:35" ht="39.5" customHeight="1">
      <c r="B81" s="9"/>
      <c r="C81" s="933"/>
      <c r="D81" s="934"/>
      <c r="E81" s="934"/>
      <c r="F81" s="935"/>
      <c r="G81" s="12"/>
      <c r="H81" s="173"/>
      <c r="I81" s="82"/>
      <c r="J81" s="792"/>
      <c r="K81" s="787"/>
      <c r="L81" s="787"/>
      <c r="M81" s="787"/>
      <c r="N81" s="10"/>
      <c r="O81" s="771" t="s">
        <v>594</v>
      </c>
      <c r="P81" s="860"/>
      <c r="Q81" s="772"/>
      <c r="R81" s="134" t="b">
        <v>0</v>
      </c>
      <c r="S81" s="10"/>
      <c r="T81" s="720"/>
      <c r="U81" s="720"/>
      <c r="V81" s="720"/>
      <c r="W81" s="720"/>
      <c r="X81" s="12"/>
      <c r="Y81" s="173"/>
      <c r="Z81" s="9"/>
      <c r="AA81" s="926"/>
      <c r="AB81" s="926"/>
      <c r="AC81" s="926"/>
      <c r="AD81" s="926"/>
      <c r="AE81" s="12"/>
      <c r="AF81" s="91"/>
      <c r="AG81" s="123">
        <f t="shared" si="15"/>
        <v>0</v>
      </c>
      <c r="AH81" s="122"/>
      <c r="AI81" s="928"/>
    </row>
    <row r="82" spans="2:35" ht="39.5" customHeight="1">
      <c r="B82" s="9"/>
      <c r="C82" s="933"/>
      <c r="D82" s="934"/>
      <c r="E82" s="934"/>
      <c r="F82" s="935"/>
      <c r="G82" s="12"/>
      <c r="H82" s="173"/>
      <c r="I82" s="82"/>
      <c r="J82" s="792"/>
      <c r="K82" s="787"/>
      <c r="L82" s="787"/>
      <c r="M82" s="787"/>
      <c r="N82" s="10"/>
      <c r="O82" s="771" t="s">
        <v>196</v>
      </c>
      <c r="P82" s="860"/>
      <c r="Q82" s="772"/>
      <c r="R82" s="134" t="b">
        <v>0</v>
      </c>
      <c r="S82" s="10"/>
      <c r="T82" s="720"/>
      <c r="U82" s="720"/>
      <c r="V82" s="720"/>
      <c r="W82" s="720"/>
      <c r="X82" s="12"/>
      <c r="Y82" s="173"/>
      <c r="Z82" s="9"/>
      <c r="AA82" s="926"/>
      <c r="AB82" s="926"/>
      <c r="AC82" s="926"/>
      <c r="AD82" s="926"/>
      <c r="AE82" s="12"/>
      <c r="AF82" s="91"/>
      <c r="AG82" s="110"/>
      <c r="AH82" s="111"/>
      <c r="AI82" s="929"/>
    </row>
    <row r="83" spans="2:35" ht="19" thickBot="1">
      <c r="B83" s="82"/>
      <c r="C83" s="936"/>
      <c r="D83" s="937"/>
      <c r="E83" s="937"/>
      <c r="F83" s="938"/>
      <c r="G83" s="83"/>
      <c r="H83" s="177"/>
      <c r="I83" s="82"/>
      <c r="J83" s="65"/>
      <c r="K83" s="232"/>
      <c r="L83" s="232"/>
      <c r="M83" s="232"/>
      <c r="N83"/>
      <c r="O83" s="10"/>
      <c r="P83" s="18"/>
      <c r="Q83" s="18"/>
      <c r="R83" s="18"/>
      <c r="S83"/>
      <c r="T83" s="10"/>
      <c r="U83" s="10"/>
      <c r="V83" s="10"/>
      <c r="W83" s="10"/>
      <c r="X83" s="83"/>
      <c r="Y83" s="177"/>
      <c r="Z83" s="82"/>
      <c r="AA83" s="8"/>
      <c r="AB83" s="324"/>
      <c r="AC83" s="324"/>
      <c r="AD83" s="324"/>
      <c r="AE83" s="83"/>
      <c r="AG83" s="129">
        <f>SUM(AG26:AG82)</f>
        <v>0</v>
      </c>
      <c r="AH83" s="129">
        <f>SUM(AH26:AH82)</f>
        <v>0</v>
      </c>
      <c r="AI83" s="129"/>
    </row>
    <row r="84" spans="2:35" ht="19" thickTop="1">
      <c r="B84" s="82"/>
      <c r="C84"/>
      <c r="D84"/>
      <c r="E84"/>
      <c r="F84"/>
      <c r="G84" s="83"/>
      <c r="H84" s="177"/>
      <c r="I84" s="82"/>
      <c r="J84" s="28" t="s">
        <v>39</v>
      </c>
      <c r="K84" s="225" t="s">
        <v>405</v>
      </c>
      <c r="L84" s="232"/>
      <c r="M84" s="232"/>
      <c r="N84"/>
      <c r="O84" s="10"/>
      <c r="P84" s="18"/>
      <c r="Q84" s="18"/>
      <c r="R84" s="18"/>
      <c r="S84"/>
      <c r="T84" s="10"/>
      <c r="U84" s="10"/>
      <c r="V84" s="10"/>
      <c r="W84" s="10"/>
      <c r="X84" s="83"/>
      <c r="Y84" s="177"/>
      <c r="Z84" s="82"/>
      <c r="AA84" s="8"/>
      <c r="AB84" s="324"/>
      <c r="AC84" s="324"/>
      <c r="AD84" s="324"/>
      <c r="AE84" s="83"/>
    </row>
    <row r="85" spans="2:35">
      <c r="B85" s="82"/>
      <c r="C85" s="898"/>
      <c r="D85" s="899"/>
      <c r="E85" s="899"/>
      <c r="F85" s="900"/>
      <c r="G85" s="83"/>
      <c r="H85" s="177"/>
      <c r="I85" s="82"/>
      <c r="J85" s="65"/>
      <c r="K85" s="232"/>
      <c r="L85" s="232"/>
      <c r="M85" s="232"/>
      <c r="N85"/>
      <c r="O85" s="10"/>
      <c r="P85" s="18"/>
      <c r="Q85" s="18"/>
      <c r="R85" s="18"/>
      <c r="S85"/>
      <c r="T85" s="10"/>
      <c r="U85" s="10"/>
      <c r="V85" s="10"/>
      <c r="W85" s="10"/>
      <c r="X85" s="83"/>
      <c r="Y85" s="177"/>
      <c r="Z85" s="82"/>
      <c r="AA85" s="8"/>
      <c r="AB85" s="324"/>
      <c r="AC85" s="324"/>
      <c r="AD85" s="324"/>
      <c r="AE85" s="83"/>
    </row>
    <row r="86" spans="2:35" ht="20" customHeight="1">
      <c r="B86" s="9"/>
      <c r="C86" s="901"/>
      <c r="D86" s="902"/>
      <c r="E86" s="902"/>
      <c r="F86" s="903"/>
      <c r="G86" s="12"/>
      <c r="H86" s="173"/>
      <c r="I86" s="82"/>
      <c r="J86" s="768">
        <v>3.1</v>
      </c>
      <c r="K86" s="793" t="s">
        <v>422</v>
      </c>
      <c r="L86" s="794"/>
      <c r="M86" s="795"/>
      <c r="N86" s="10"/>
      <c r="O86" s="771" t="s">
        <v>414</v>
      </c>
      <c r="P86" s="860"/>
      <c r="Q86" s="772"/>
      <c r="R86" s="134" t="b">
        <v>0</v>
      </c>
      <c r="S86" s="10"/>
      <c r="T86" s="829" t="s">
        <v>80</v>
      </c>
      <c r="U86" s="830"/>
      <c r="V86" s="830"/>
      <c r="W86" s="831"/>
      <c r="X86" s="12"/>
      <c r="Y86" s="173"/>
      <c r="Z86" s="9"/>
      <c r="AA86" s="837" t="str">
        <f>IF(AG94, Feedback_List!B74, " ")</f>
        <v xml:space="preserve"> </v>
      </c>
      <c r="AB86" s="838"/>
      <c r="AC86" s="838"/>
      <c r="AD86" s="839"/>
      <c r="AE86" s="12"/>
      <c r="AF86" s="91"/>
      <c r="AG86" s="185">
        <f>IF(R86,1,0)</f>
        <v>0</v>
      </c>
      <c r="AH86" s="268">
        <f>IF(AG86,1,0)</f>
        <v>0</v>
      </c>
      <c r="AI86" s="698">
        <f>SUM(AH86:AH111)*AN9</f>
        <v>0</v>
      </c>
    </row>
    <row r="87" spans="2:35" ht="20" customHeight="1">
      <c r="B87" s="9"/>
      <c r="C87" s="901"/>
      <c r="D87" s="902"/>
      <c r="E87" s="902"/>
      <c r="F87" s="903"/>
      <c r="G87" s="12"/>
      <c r="H87" s="173"/>
      <c r="I87" s="82"/>
      <c r="J87" s="769"/>
      <c r="K87" s="796"/>
      <c r="L87" s="797"/>
      <c r="M87" s="798"/>
      <c r="N87" s="10"/>
      <c r="O87" s="771" t="s">
        <v>415</v>
      </c>
      <c r="P87" s="860"/>
      <c r="Q87" s="772"/>
      <c r="R87" s="134" t="b">
        <v>0</v>
      </c>
      <c r="S87" s="10"/>
      <c r="T87" s="832"/>
      <c r="U87" s="833"/>
      <c r="V87" s="833"/>
      <c r="W87" s="834"/>
      <c r="X87" s="12"/>
      <c r="Y87" s="173"/>
      <c r="Z87" s="9"/>
      <c r="AA87" s="840"/>
      <c r="AB87" s="841"/>
      <c r="AC87" s="841"/>
      <c r="AD87" s="842"/>
      <c r="AE87" s="12"/>
      <c r="AF87" s="91"/>
      <c r="AG87" s="123">
        <f t="shared" ref="AG87:AG95" si="17">IF(R87,1,0)</f>
        <v>0</v>
      </c>
      <c r="AH87" s="102">
        <f t="shared" ref="AH87:AH93" si="18">IF(AG87,1,0)</f>
        <v>0</v>
      </c>
      <c r="AI87" s="699"/>
    </row>
    <row r="88" spans="2:35" ht="20" customHeight="1">
      <c r="B88" s="9"/>
      <c r="C88" s="901"/>
      <c r="D88" s="902"/>
      <c r="E88" s="902"/>
      <c r="F88" s="903"/>
      <c r="G88" s="12"/>
      <c r="H88" s="173"/>
      <c r="I88" s="82"/>
      <c r="J88" s="769"/>
      <c r="K88" s="796"/>
      <c r="L88" s="797"/>
      <c r="M88" s="798"/>
      <c r="N88" s="10"/>
      <c r="O88" s="771" t="s">
        <v>416</v>
      </c>
      <c r="P88" s="860"/>
      <c r="Q88" s="772"/>
      <c r="R88" s="134" t="b">
        <v>0</v>
      </c>
      <c r="S88" s="10"/>
      <c r="T88" s="832"/>
      <c r="U88" s="833"/>
      <c r="V88" s="833"/>
      <c r="W88" s="834"/>
      <c r="X88" s="12"/>
      <c r="Y88" s="173"/>
      <c r="Z88" s="9"/>
      <c r="AA88" s="840"/>
      <c r="AB88" s="841"/>
      <c r="AC88" s="841"/>
      <c r="AD88" s="842"/>
      <c r="AE88" s="12"/>
      <c r="AF88" s="91"/>
      <c r="AG88" s="123">
        <f t="shared" si="17"/>
        <v>0</v>
      </c>
      <c r="AH88" s="102">
        <f t="shared" si="18"/>
        <v>0</v>
      </c>
      <c r="AI88" s="699"/>
    </row>
    <row r="89" spans="2:35" ht="20" customHeight="1">
      <c r="B89" s="9"/>
      <c r="C89" s="901"/>
      <c r="D89" s="902"/>
      <c r="E89" s="902"/>
      <c r="F89" s="903"/>
      <c r="G89" s="12"/>
      <c r="H89" s="173"/>
      <c r="I89" s="82"/>
      <c r="J89" s="769"/>
      <c r="K89" s="796"/>
      <c r="L89" s="797"/>
      <c r="M89" s="798"/>
      <c r="N89" s="10"/>
      <c r="O89" s="771" t="s">
        <v>417</v>
      </c>
      <c r="P89" s="860"/>
      <c r="Q89" s="772"/>
      <c r="R89" s="134" t="b">
        <v>0</v>
      </c>
      <c r="S89" s="10"/>
      <c r="T89" s="832"/>
      <c r="U89" s="833"/>
      <c r="V89" s="833"/>
      <c r="W89" s="834"/>
      <c r="X89" s="12"/>
      <c r="Y89" s="173"/>
      <c r="Z89" s="9"/>
      <c r="AA89" s="840"/>
      <c r="AB89" s="841"/>
      <c r="AC89" s="841"/>
      <c r="AD89" s="842"/>
      <c r="AE89" s="12"/>
      <c r="AF89" s="91"/>
      <c r="AG89" s="123">
        <f t="shared" si="17"/>
        <v>0</v>
      </c>
      <c r="AH89" s="102">
        <f t="shared" si="18"/>
        <v>0</v>
      </c>
      <c r="AI89" s="699"/>
    </row>
    <row r="90" spans="2:35" ht="20" customHeight="1">
      <c r="B90" s="9"/>
      <c r="C90" s="901"/>
      <c r="D90" s="902"/>
      <c r="E90" s="902"/>
      <c r="F90" s="903"/>
      <c r="G90" s="12"/>
      <c r="H90" s="173"/>
      <c r="I90" s="82"/>
      <c r="J90" s="769"/>
      <c r="K90" s="796"/>
      <c r="L90" s="797"/>
      <c r="M90" s="798"/>
      <c r="N90" s="10"/>
      <c r="O90" s="771" t="s">
        <v>418</v>
      </c>
      <c r="P90" s="860"/>
      <c r="Q90" s="772"/>
      <c r="R90" s="134" t="b">
        <v>0</v>
      </c>
      <c r="S90" s="10"/>
      <c r="T90" s="832"/>
      <c r="U90" s="833"/>
      <c r="V90" s="833"/>
      <c r="W90" s="834"/>
      <c r="X90" s="12"/>
      <c r="Y90" s="173"/>
      <c r="Z90" s="9"/>
      <c r="AA90" s="840"/>
      <c r="AB90" s="841"/>
      <c r="AC90" s="841"/>
      <c r="AD90" s="842"/>
      <c r="AE90" s="12"/>
      <c r="AF90" s="91"/>
      <c r="AG90" s="123">
        <f t="shared" si="17"/>
        <v>0</v>
      </c>
      <c r="AH90" s="102">
        <f t="shared" si="18"/>
        <v>0</v>
      </c>
      <c r="AI90" s="699"/>
    </row>
    <row r="91" spans="2:35" ht="20" customHeight="1">
      <c r="B91" s="9"/>
      <c r="C91" s="901"/>
      <c r="D91" s="902"/>
      <c r="E91" s="902"/>
      <c r="F91" s="903"/>
      <c r="G91" s="12"/>
      <c r="H91" s="173"/>
      <c r="I91" s="82"/>
      <c r="J91" s="769"/>
      <c r="K91" s="796"/>
      <c r="L91" s="797"/>
      <c r="M91" s="798"/>
      <c r="N91" s="10"/>
      <c r="O91" s="771" t="s">
        <v>419</v>
      </c>
      <c r="P91" s="860"/>
      <c r="Q91" s="772"/>
      <c r="R91" s="134" t="b">
        <v>0</v>
      </c>
      <c r="S91" s="10"/>
      <c r="T91" s="832"/>
      <c r="U91" s="833"/>
      <c r="V91" s="833"/>
      <c r="W91" s="834"/>
      <c r="X91" s="12"/>
      <c r="Y91" s="173"/>
      <c r="Z91" s="9"/>
      <c r="AA91" s="840"/>
      <c r="AB91" s="841"/>
      <c r="AC91" s="841"/>
      <c r="AD91" s="842"/>
      <c r="AE91" s="12"/>
      <c r="AF91" s="91"/>
      <c r="AG91" s="123">
        <f t="shared" si="17"/>
        <v>0</v>
      </c>
      <c r="AH91" s="102">
        <f t="shared" si="18"/>
        <v>0</v>
      </c>
      <c r="AI91" s="699"/>
    </row>
    <row r="92" spans="2:35" ht="20" customHeight="1">
      <c r="B92" s="9"/>
      <c r="C92" s="901"/>
      <c r="D92" s="902"/>
      <c r="E92" s="902"/>
      <c r="F92" s="903"/>
      <c r="G92" s="12"/>
      <c r="H92" s="173"/>
      <c r="I92" s="82"/>
      <c r="J92" s="769"/>
      <c r="K92" s="796"/>
      <c r="L92" s="797"/>
      <c r="M92" s="798"/>
      <c r="N92" s="10"/>
      <c r="O92" s="771" t="s">
        <v>420</v>
      </c>
      <c r="P92" s="860"/>
      <c r="Q92" s="772"/>
      <c r="R92" s="134" t="b">
        <v>0</v>
      </c>
      <c r="S92" s="10"/>
      <c r="T92" s="832"/>
      <c r="U92" s="833"/>
      <c r="V92" s="833"/>
      <c r="W92" s="834"/>
      <c r="X92" s="12"/>
      <c r="Y92" s="173"/>
      <c r="Z92" s="9"/>
      <c r="AA92" s="840"/>
      <c r="AB92" s="841"/>
      <c r="AC92" s="841"/>
      <c r="AD92" s="842"/>
      <c r="AE92" s="12"/>
      <c r="AF92" s="91"/>
      <c r="AG92" s="123">
        <f t="shared" si="17"/>
        <v>0</v>
      </c>
      <c r="AH92" s="102">
        <f t="shared" si="18"/>
        <v>0</v>
      </c>
      <c r="AI92" s="699"/>
    </row>
    <row r="93" spans="2:35" ht="20" customHeight="1">
      <c r="B93" s="9"/>
      <c r="C93" s="901"/>
      <c r="D93" s="902"/>
      <c r="E93" s="902"/>
      <c r="F93" s="903"/>
      <c r="G93" s="12"/>
      <c r="H93" s="173"/>
      <c r="I93" s="82"/>
      <c r="J93" s="769"/>
      <c r="K93" s="796"/>
      <c r="L93" s="797"/>
      <c r="M93" s="798"/>
      <c r="N93" s="10"/>
      <c r="O93" s="771" t="s">
        <v>595</v>
      </c>
      <c r="P93" s="860"/>
      <c r="Q93" s="772"/>
      <c r="R93" s="134" t="b">
        <v>0</v>
      </c>
      <c r="S93" s="10"/>
      <c r="T93" s="832"/>
      <c r="U93" s="833"/>
      <c r="V93" s="833"/>
      <c r="W93" s="834"/>
      <c r="X93" s="12"/>
      <c r="Y93" s="173"/>
      <c r="Z93" s="9"/>
      <c r="AA93" s="840"/>
      <c r="AB93" s="841"/>
      <c r="AC93" s="841"/>
      <c r="AD93" s="842"/>
      <c r="AE93" s="12"/>
      <c r="AF93" s="91"/>
      <c r="AG93" s="123">
        <f t="shared" si="17"/>
        <v>0</v>
      </c>
      <c r="AH93" s="102">
        <f t="shared" si="18"/>
        <v>0</v>
      </c>
      <c r="AI93" s="699"/>
    </row>
    <row r="94" spans="2:35" ht="31.5" customHeight="1">
      <c r="B94" s="9"/>
      <c r="C94" s="901"/>
      <c r="D94" s="902"/>
      <c r="E94" s="902"/>
      <c r="F94" s="903"/>
      <c r="G94" s="12"/>
      <c r="H94" s="173"/>
      <c r="I94" s="82"/>
      <c r="J94" s="769"/>
      <c r="K94" s="796"/>
      <c r="L94" s="797"/>
      <c r="M94" s="798"/>
      <c r="N94" s="10"/>
      <c r="O94" s="548" t="s">
        <v>654</v>
      </c>
      <c r="P94" s="549"/>
      <c r="Q94" s="550"/>
      <c r="R94" s="134" t="b">
        <v>0</v>
      </c>
      <c r="S94" s="10"/>
      <c r="T94" s="832"/>
      <c r="U94" s="833"/>
      <c r="V94" s="833"/>
      <c r="W94" s="834"/>
      <c r="X94" s="12"/>
      <c r="Y94" s="173"/>
      <c r="Z94" s="9"/>
      <c r="AA94" s="840"/>
      <c r="AB94" s="841"/>
      <c r="AC94" s="841"/>
      <c r="AD94" s="842"/>
      <c r="AE94" s="12"/>
      <c r="AF94" s="91"/>
      <c r="AG94" s="123">
        <f t="shared" si="17"/>
        <v>0</v>
      </c>
      <c r="AI94" s="699"/>
    </row>
    <row r="95" spans="2:35" ht="20" customHeight="1">
      <c r="B95" s="9"/>
      <c r="C95" s="901"/>
      <c r="D95" s="902"/>
      <c r="E95" s="902"/>
      <c r="F95" s="903"/>
      <c r="G95" s="12"/>
      <c r="H95" s="173"/>
      <c r="I95" s="82"/>
      <c r="J95" s="770"/>
      <c r="K95" s="799"/>
      <c r="L95" s="800"/>
      <c r="M95" s="801"/>
      <c r="N95"/>
      <c r="O95" s="771" t="s">
        <v>421</v>
      </c>
      <c r="P95" s="860"/>
      <c r="Q95" s="772"/>
      <c r="R95" s="134" t="b">
        <v>0</v>
      </c>
      <c r="S95"/>
      <c r="T95" s="835"/>
      <c r="U95" s="701"/>
      <c r="V95" s="701"/>
      <c r="W95" s="836"/>
      <c r="X95" s="83"/>
      <c r="Y95" s="177"/>
      <c r="Z95" s="82"/>
      <c r="AA95" s="843"/>
      <c r="AB95" s="844"/>
      <c r="AC95" s="844"/>
      <c r="AD95" s="845"/>
      <c r="AE95" s="83"/>
      <c r="AG95" s="123">
        <f t="shared" si="17"/>
        <v>0</v>
      </c>
      <c r="AI95" s="699"/>
    </row>
    <row r="96" spans="2:35">
      <c r="B96" s="9"/>
      <c r="C96" s="901"/>
      <c r="D96" s="902"/>
      <c r="E96" s="902"/>
      <c r="F96" s="903"/>
      <c r="G96" s="12"/>
      <c r="H96" s="173"/>
      <c r="I96" s="82"/>
      <c r="J96" s="272"/>
      <c r="K96" s="265"/>
      <c r="L96" s="265"/>
      <c r="M96" s="265"/>
      <c r="N96" s="10"/>
      <c r="O96" s="51"/>
      <c r="P96" s="51"/>
      <c r="Q96" s="51"/>
      <c r="R96" s="18"/>
      <c r="S96" s="10"/>
      <c r="T96" s="24"/>
      <c r="U96" s="24"/>
      <c r="V96" s="24"/>
      <c r="W96" s="24"/>
      <c r="X96" s="12"/>
      <c r="Y96" s="173"/>
      <c r="Z96" s="9"/>
      <c r="AA96" s="249"/>
      <c r="AB96" s="262"/>
      <c r="AC96" s="262"/>
      <c r="AD96" s="262"/>
      <c r="AE96" s="12"/>
      <c r="AF96" s="91"/>
      <c r="AG96" s="123"/>
      <c r="AI96" s="699"/>
    </row>
    <row r="97" spans="2:35" ht="37.5" customHeight="1">
      <c r="B97" s="9"/>
      <c r="C97" s="901"/>
      <c r="D97" s="902"/>
      <c r="E97" s="902"/>
      <c r="F97" s="903"/>
      <c r="G97" s="12"/>
      <c r="H97" s="173"/>
      <c r="I97" s="82"/>
      <c r="J97" s="768">
        <v>3.2</v>
      </c>
      <c r="K97" s="759" t="s">
        <v>653</v>
      </c>
      <c r="L97" s="760"/>
      <c r="M97" s="761"/>
      <c r="N97" s="10"/>
      <c r="O97" s="771" t="s">
        <v>423</v>
      </c>
      <c r="P97" s="860"/>
      <c r="Q97" s="772"/>
      <c r="R97" s="134" t="b">
        <v>0</v>
      </c>
      <c r="S97" s="10"/>
      <c r="T97" s="829" t="s">
        <v>80</v>
      </c>
      <c r="U97" s="830"/>
      <c r="V97" s="830"/>
      <c r="W97" s="831"/>
      <c r="X97" s="12"/>
      <c r="Y97" s="173"/>
      <c r="Z97" s="9"/>
      <c r="AA97" s="837" t="str">
        <f>IF(AG102,Feedback_List!B75, " ")</f>
        <v xml:space="preserve"> </v>
      </c>
      <c r="AB97" s="838"/>
      <c r="AC97" s="838"/>
      <c r="AD97" s="839"/>
      <c r="AE97" s="12"/>
      <c r="AF97" s="91"/>
      <c r="AG97" s="123">
        <f>IF(R97, 1, 0)</f>
        <v>0</v>
      </c>
      <c r="AH97" s="102">
        <f>IF(AG97,2,0)</f>
        <v>0</v>
      </c>
      <c r="AI97" s="699"/>
    </row>
    <row r="98" spans="2:35" ht="37.5" customHeight="1">
      <c r="B98" s="9"/>
      <c r="C98" s="901"/>
      <c r="D98" s="902"/>
      <c r="E98" s="902"/>
      <c r="F98" s="903"/>
      <c r="G98" s="12"/>
      <c r="H98" s="173"/>
      <c r="I98" s="82"/>
      <c r="J98" s="769"/>
      <c r="K98" s="762"/>
      <c r="L98" s="763"/>
      <c r="M98" s="764"/>
      <c r="N98" s="10"/>
      <c r="O98" s="771" t="s">
        <v>424</v>
      </c>
      <c r="P98" s="860"/>
      <c r="Q98" s="772"/>
      <c r="R98" s="134" t="b">
        <v>0</v>
      </c>
      <c r="S98" s="10"/>
      <c r="T98" s="832"/>
      <c r="U98" s="833"/>
      <c r="V98" s="833"/>
      <c r="W98" s="834"/>
      <c r="X98" s="12"/>
      <c r="Y98" s="173"/>
      <c r="Z98" s="9"/>
      <c r="AA98" s="840"/>
      <c r="AB98" s="841"/>
      <c r="AC98" s="841"/>
      <c r="AD98" s="842"/>
      <c r="AE98" s="12"/>
      <c r="AF98" s="91"/>
      <c r="AG98" s="123">
        <f t="shared" ref="AG98:AG102" si="19">IF(R98, 1, 0)</f>
        <v>0</v>
      </c>
      <c r="AH98" s="102">
        <f t="shared" ref="AH98:AH100" si="20">IF(AG98,2,0)</f>
        <v>0</v>
      </c>
      <c r="AI98" s="699"/>
    </row>
    <row r="99" spans="2:35" ht="37.5" customHeight="1">
      <c r="B99" s="9"/>
      <c r="C99" s="901"/>
      <c r="D99" s="902"/>
      <c r="E99" s="902"/>
      <c r="F99" s="903"/>
      <c r="G99" s="12"/>
      <c r="H99" s="173"/>
      <c r="I99" s="82"/>
      <c r="J99" s="769"/>
      <c r="K99" s="762"/>
      <c r="L99" s="763"/>
      <c r="M99" s="764"/>
      <c r="N99" s="10"/>
      <c r="O99" s="771" t="s">
        <v>425</v>
      </c>
      <c r="P99" s="860"/>
      <c r="Q99" s="772"/>
      <c r="R99" s="134" t="b">
        <v>0</v>
      </c>
      <c r="S99" s="10"/>
      <c r="T99" s="832"/>
      <c r="U99" s="833"/>
      <c r="V99" s="833"/>
      <c r="W99" s="834"/>
      <c r="X99" s="12"/>
      <c r="Y99" s="173"/>
      <c r="Z99" s="9"/>
      <c r="AA99" s="840"/>
      <c r="AB99" s="841"/>
      <c r="AC99" s="841"/>
      <c r="AD99" s="842"/>
      <c r="AE99" s="12"/>
      <c r="AF99" s="91"/>
      <c r="AG99" s="123">
        <f t="shared" si="19"/>
        <v>0</v>
      </c>
      <c r="AH99" s="102">
        <f t="shared" si="20"/>
        <v>0</v>
      </c>
      <c r="AI99" s="699"/>
    </row>
    <row r="100" spans="2:35" ht="37.5" customHeight="1">
      <c r="B100" s="9"/>
      <c r="C100" s="901"/>
      <c r="D100" s="902"/>
      <c r="E100" s="902"/>
      <c r="F100" s="903"/>
      <c r="G100" s="12"/>
      <c r="H100" s="173"/>
      <c r="I100" s="82"/>
      <c r="J100" s="769"/>
      <c r="K100" s="762"/>
      <c r="L100" s="763"/>
      <c r="M100" s="764"/>
      <c r="N100" s="10"/>
      <c r="O100" s="771" t="s">
        <v>426</v>
      </c>
      <c r="P100" s="860"/>
      <c r="Q100" s="772"/>
      <c r="R100" s="134" t="b">
        <v>0</v>
      </c>
      <c r="S100" s="10"/>
      <c r="T100" s="832"/>
      <c r="U100" s="833"/>
      <c r="V100" s="833"/>
      <c r="W100" s="834"/>
      <c r="X100" s="12"/>
      <c r="Y100" s="173"/>
      <c r="Z100" s="9"/>
      <c r="AA100" s="840"/>
      <c r="AB100" s="841"/>
      <c r="AC100" s="841"/>
      <c r="AD100" s="842"/>
      <c r="AE100" s="12"/>
      <c r="AF100" s="91"/>
      <c r="AG100" s="123">
        <f t="shared" si="19"/>
        <v>0</v>
      </c>
      <c r="AH100" s="102">
        <f t="shared" si="20"/>
        <v>0</v>
      </c>
      <c r="AI100" s="699"/>
    </row>
    <row r="101" spans="2:35" ht="37.5" customHeight="1">
      <c r="B101" s="9"/>
      <c r="C101" s="901"/>
      <c r="D101" s="902"/>
      <c r="E101" s="902"/>
      <c r="F101" s="903"/>
      <c r="G101" s="12"/>
      <c r="H101" s="173"/>
      <c r="I101" s="82"/>
      <c r="J101" s="769"/>
      <c r="K101" s="762"/>
      <c r="L101" s="763"/>
      <c r="M101" s="764"/>
      <c r="N101" s="10"/>
      <c r="O101" s="771" t="s">
        <v>856</v>
      </c>
      <c r="P101" s="860"/>
      <c r="Q101" s="772"/>
      <c r="R101" s="134" t="b">
        <v>0</v>
      </c>
      <c r="S101" s="10"/>
      <c r="T101" s="832"/>
      <c r="U101" s="833"/>
      <c r="V101" s="833"/>
      <c r="W101" s="834"/>
      <c r="X101" s="12"/>
      <c r="Y101" s="173"/>
      <c r="Z101" s="9"/>
      <c r="AA101" s="840"/>
      <c r="AB101" s="841"/>
      <c r="AC101" s="841"/>
      <c r="AD101" s="842"/>
      <c r="AE101" s="12"/>
      <c r="AF101" s="91"/>
      <c r="AG101" s="123">
        <f t="shared" si="19"/>
        <v>0</v>
      </c>
      <c r="AH101" s="102">
        <f>IF(AG101,2,0)</f>
        <v>0</v>
      </c>
      <c r="AI101" s="699"/>
    </row>
    <row r="102" spans="2:35" ht="37.5" customHeight="1">
      <c r="B102" s="9"/>
      <c r="C102" s="901"/>
      <c r="D102" s="902"/>
      <c r="E102" s="902"/>
      <c r="F102" s="903"/>
      <c r="G102" s="12"/>
      <c r="H102" s="173"/>
      <c r="I102" s="82"/>
      <c r="J102" s="770"/>
      <c r="K102" s="765"/>
      <c r="L102" s="766"/>
      <c r="M102" s="767"/>
      <c r="N102" s="10"/>
      <c r="O102" s="771" t="s">
        <v>655</v>
      </c>
      <c r="P102" s="860"/>
      <c r="Q102" s="772"/>
      <c r="R102" s="134" t="b">
        <v>0</v>
      </c>
      <c r="S102" s="10"/>
      <c r="T102" s="835"/>
      <c r="U102" s="701"/>
      <c r="V102" s="701"/>
      <c r="W102" s="836"/>
      <c r="X102" s="12"/>
      <c r="Y102" s="173"/>
      <c r="Z102" s="9"/>
      <c r="AA102" s="843"/>
      <c r="AB102" s="844"/>
      <c r="AC102" s="844"/>
      <c r="AD102" s="845"/>
      <c r="AE102" s="12"/>
      <c r="AF102" s="91"/>
      <c r="AG102" s="123">
        <f t="shared" si="19"/>
        <v>0</v>
      </c>
      <c r="AI102" s="699"/>
    </row>
    <row r="103" spans="2:35">
      <c r="B103" s="9"/>
      <c r="C103" s="901"/>
      <c r="D103" s="902"/>
      <c r="E103" s="902"/>
      <c r="F103" s="903"/>
      <c r="G103" s="12"/>
      <c r="H103" s="173"/>
      <c r="I103" s="82"/>
      <c r="J103" s="272"/>
      <c r="K103" s="265"/>
      <c r="L103" s="265"/>
      <c r="M103" s="265"/>
      <c r="N103" s="10"/>
      <c r="O103" s="62"/>
      <c r="P103" s="62"/>
      <c r="Q103" s="62"/>
      <c r="R103" s="18"/>
      <c r="S103" s="10"/>
      <c r="T103" s="24"/>
      <c r="U103" s="24"/>
      <c r="V103" s="24"/>
      <c r="W103" s="24"/>
      <c r="X103" s="12"/>
      <c r="Y103" s="173"/>
      <c r="Z103" s="9"/>
      <c r="AA103" s="249"/>
      <c r="AB103" s="262"/>
      <c r="AC103" s="262"/>
      <c r="AD103" s="262"/>
      <c r="AE103" s="12"/>
      <c r="AF103" s="91"/>
      <c r="AG103" s="123"/>
      <c r="AI103" s="699"/>
    </row>
    <row r="104" spans="2:35" ht="30.5" customHeight="1">
      <c r="B104" s="9"/>
      <c r="C104" s="901"/>
      <c r="D104" s="902"/>
      <c r="E104" s="902"/>
      <c r="F104" s="903"/>
      <c r="G104" s="12"/>
      <c r="H104" s="173"/>
      <c r="I104" s="82"/>
      <c r="J104" s="768">
        <v>3.3</v>
      </c>
      <c r="K104" s="759" t="s">
        <v>406</v>
      </c>
      <c r="L104" s="760"/>
      <c r="M104" s="761"/>
      <c r="N104" s="10"/>
      <c r="O104" s="771" t="s">
        <v>407</v>
      </c>
      <c r="P104" s="860"/>
      <c r="Q104" s="772"/>
      <c r="R104" s="134" t="b">
        <v>0</v>
      </c>
      <c r="S104" s="10"/>
      <c r="T104" s="829" t="s">
        <v>80</v>
      </c>
      <c r="U104" s="830"/>
      <c r="V104" s="830"/>
      <c r="W104" s="831"/>
      <c r="X104" s="12"/>
      <c r="Y104" s="173"/>
      <c r="Z104" s="9"/>
      <c r="AA104" s="837" t="str">
        <f>IF(AG111, Feedback_List!B76, " " )</f>
        <v xml:space="preserve"> </v>
      </c>
      <c r="AB104" s="838"/>
      <c r="AC104" s="838"/>
      <c r="AD104" s="839"/>
      <c r="AE104" s="12"/>
      <c r="AF104" s="91"/>
      <c r="AG104" s="123">
        <f t="shared" ref="AG104:AG111" si="21">IF(R104, 1, 0)</f>
        <v>0</v>
      </c>
      <c r="AH104" s="102">
        <f t="shared" ref="AH104:AH110" si="22">IF(AG104,1,0)</f>
        <v>0</v>
      </c>
      <c r="AI104" s="699"/>
    </row>
    <row r="105" spans="2:35" ht="30.5" customHeight="1">
      <c r="B105" s="9"/>
      <c r="C105" s="901"/>
      <c r="D105" s="902"/>
      <c r="E105" s="902"/>
      <c r="F105" s="903"/>
      <c r="G105" s="12"/>
      <c r="H105" s="173"/>
      <c r="I105" s="82"/>
      <c r="J105" s="769"/>
      <c r="K105" s="762"/>
      <c r="L105" s="763"/>
      <c r="M105" s="764"/>
      <c r="N105" s="10"/>
      <c r="O105" s="771" t="s">
        <v>408</v>
      </c>
      <c r="P105" s="860"/>
      <c r="Q105" s="772"/>
      <c r="R105" s="134" t="b">
        <v>0</v>
      </c>
      <c r="S105" s="10"/>
      <c r="T105" s="832"/>
      <c r="U105" s="833"/>
      <c r="V105" s="833"/>
      <c r="W105" s="834"/>
      <c r="X105" s="12"/>
      <c r="Y105" s="173"/>
      <c r="Z105" s="9"/>
      <c r="AA105" s="840"/>
      <c r="AB105" s="841"/>
      <c r="AC105" s="841"/>
      <c r="AD105" s="842"/>
      <c r="AE105" s="12"/>
      <c r="AF105" s="91"/>
      <c r="AG105" s="123">
        <f t="shared" si="21"/>
        <v>0</v>
      </c>
      <c r="AH105" s="102">
        <f t="shared" si="22"/>
        <v>0</v>
      </c>
      <c r="AI105" s="699"/>
    </row>
    <row r="106" spans="2:35" ht="30.5" customHeight="1">
      <c r="B106" s="9"/>
      <c r="C106" s="901"/>
      <c r="D106" s="902"/>
      <c r="E106" s="902"/>
      <c r="F106" s="903"/>
      <c r="G106" s="12"/>
      <c r="H106" s="173"/>
      <c r="I106" s="82"/>
      <c r="J106" s="769"/>
      <c r="K106" s="762"/>
      <c r="L106" s="763"/>
      <c r="M106" s="764"/>
      <c r="N106" s="10"/>
      <c r="O106" s="771" t="s">
        <v>409</v>
      </c>
      <c r="P106" s="860"/>
      <c r="Q106" s="772"/>
      <c r="R106" s="134" t="b">
        <v>0</v>
      </c>
      <c r="S106" s="10"/>
      <c r="T106" s="832"/>
      <c r="U106" s="833"/>
      <c r="V106" s="833"/>
      <c r="W106" s="834"/>
      <c r="X106" s="12"/>
      <c r="Y106" s="173"/>
      <c r="Z106" s="9"/>
      <c r="AA106" s="840"/>
      <c r="AB106" s="841"/>
      <c r="AC106" s="841"/>
      <c r="AD106" s="842"/>
      <c r="AE106" s="12"/>
      <c r="AF106" s="91"/>
      <c r="AG106" s="123">
        <f t="shared" si="21"/>
        <v>0</v>
      </c>
      <c r="AH106" s="102">
        <f t="shared" si="22"/>
        <v>0</v>
      </c>
      <c r="AI106" s="699"/>
    </row>
    <row r="107" spans="2:35" ht="30.5" customHeight="1">
      <c r="B107" s="9"/>
      <c r="C107" s="901"/>
      <c r="D107" s="902"/>
      <c r="E107" s="902"/>
      <c r="F107" s="903"/>
      <c r="G107" s="12"/>
      <c r="H107" s="173"/>
      <c r="I107" s="82"/>
      <c r="J107" s="769"/>
      <c r="K107" s="762"/>
      <c r="L107" s="763"/>
      <c r="M107" s="764"/>
      <c r="N107" s="10"/>
      <c r="O107" s="771" t="s">
        <v>410</v>
      </c>
      <c r="P107" s="860"/>
      <c r="Q107" s="772"/>
      <c r="R107" s="134" t="b">
        <v>0</v>
      </c>
      <c r="S107" s="10"/>
      <c r="T107" s="832"/>
      <c r="U107" s="833"/>
      <c r="V107" s="833"/>
      <c r="W107" s="834"/>
      <c r="X107" s="12"/>
      <c r="Y107" s="173"/>
      <c r="Z107" s="9"/>
      <c r="AA107" s="840"/>
      <c r="AB107" s="841"/>
      <c r="AC107" s="841"/>
      <c r="AD107" s="842"/>
      <c r="AE107" s="12"/>
      <c r="AF107" s="91"/>
      <c r="AG107" s="123">
        <f t="shared" si="21"/>
        <v>0</v>
      </c>
      <c r="AH107" s="102">
        <f t="shared" si="22"/>
        <v>0</v>
      </c>
      <c r="AI107" s="699"/>
    </row>
    <row r="108" spans="2:35" ht="30.5" customHeight="1">
      <c r="B108" s="9"/>
      <c r="C108" s="901"/>
      <c r="D108" s="902"/>
      <c r="E108" s="902"/>
      <c r="F108" s="903"/>
      <c r="G108" s="12"/>
      <c r="H108" s="173"/>
      <c r="I108" s="82"/>
      <c r="J108" s="769"/>
      <c r="K108" s="762"/>
      <c r="L108" s="763"/>
      <c r="M108" s="764"/>
      <c r="N108" s="10"/>
      <c r="O108" s="771" t="s">
        <v>411</v>
      </c>
      <c r="P108" s="860"/>
      <c r="Q108" s="772"/>
      <c r="R108" s="134" t="b">
        <v>0</v>
      </c>
      <c r="S108" s="10"/>
      <c r="T108" s="832"/>
      <c r="U108" s="833"/>
      <c r="V108" s="833"/>
      <c r="W108" s="834"/>
      <c r="X108" s="12"/>
      <c r="Y108" s="173"/>
      <c r="Z108" s="9"/>
      <c r="AA108" s="840"/>
      <c r="AB108" s="841"/>
      <c r="AC108" s="841"/>
      <c r="AD108" s="842"/>
      <c r="AE108" s="12"/>
      <c r="AF108" s="91"/>
      <c r="AG108" s="123">
        <f t="shared" si="21"/>
        <v>0</v>
      </c>
      <c r="AH108" s="102">
        <f t="shared" si="22"/>
        <v>0</v>
      </c>
      <c r="AI108" s="699"/>
    </row>
    <row r="109" spans="2:35" ht="30.5" customHeight="1">
      <c r="B109" s="9"/>
      <c r="C109" s="901"/>
      <c r="D109" s="902"/>
      <c r="E109" s="902"/>
      <c r="F109" s="903"/>
      <c r="G109" s="12"/>
      <c r="H109" s="173"/>
      <c r="I109" s="82"/>
      <c r="J109" s="769"/>
      <c r="K109" s="762"/>
      <c r="L109" s="763"/>
      <c r="M109" s="764"/>
      <c r="N109" s="10"/>
      <c r="O109" s="771" t="s">
        <v>412</v>
      </c>
      <c r="P109" s="860"/>
      <c r="Q109" s="772"/>
      <c r="R109" s="134" t="b">
        <v>0</v>
      </c>
      <c r="S109" s="10"/>
      <c r="T109" s="832"/>
      <c r="U109" s="833"/>
      <c r="V109" s="833"/>
      <c r="W109" s="834"/>
      <c r="X109" s="12"/>
      <c r="Y109" s="173"/>
      <c r="Z109" s="9"/>
      <c r="AA109" s="840"/>
      <c r="AB109" s="841"/>
      <c r="AC109" s="841"/>
      <c r="AD109" s="842"/>
      <c r="AE109" s="12"/>
      <c r="AF109" s="91"/>
      <c r="AG109" s="123">
        <f t="shared" si="21"/>
        <v>0</v>
      </c>
      <c r="AH109" s="102">
        <f t="shared" si="22"/>
        <v>0</v>
      </c>
      <c r="AI109" s="699"/>
    </row>
    <row r="110" spans="2:35" ht="30.5" customHeight="1">
      <c r="B110" s="9"/>
      <c r="C110" s="901"/>
      <c r="D110" s="902"/>
      <c r="E110" s="902"/>
      <c r="F110" s="903"/>
      <c r="G110" s="12"/>
      <c r="H110" s="173"/>
      <c r="I110" s="82"/>
      <c r="J110" s="769"/>
      <c r="K110" s="762"/>
      <c r="L110" s="763"/>
      <c r="M110" s="764"/>
      <c r="N110" s="10"/>
      <c r="O110" s="771" t="s">
        <v>413</v>
      </c>
      <c r="P110" s="860"/>
      <c r="Q110" s="772"/>
      <c r="R110" s="134" t="b">
        <v>0</v>
      </c>
      <c r="S110" s="10"/>
      <c r="T110" s="832"/>
      <c r="U110" s="833"/>
      <c r="V110" s="833"/>
      <c r="W110" s="834"/>
      <c r="X110" s="12"/>
      <c r="Y110" s="173"/>
      <c r="Z110" s="9"/>
      <c r="AA110" s="840"/>
      <c r="AB110" s="841"/>
      <c r="AC110" s="841"/>
      <c r="AD110" s="842"/>
      <c r="AE110" s="12"/>
      <c r="AF110" s="91"/>
      <c r="AG110" s="123">
        <f t="shared" si="21"/>
        <v>0</v>
      </c>
      <c r="AH110" s="122">
        <f t="shared" si="22"/>
        <v>0</v>
      </c>
      <c r="AI110" s="699"/>
    </row>
    <row r="111" spans="2:35" ht="30.5" customHeight="1">
      <c r="B111" s="9"/>
      <c r="C111" s="904"/>
      <c r="D111" s="905"/>
      <c r="E111" s="905"/>
      <c r="F111" s="906"/>
      <c r="G111" s="12"/>
      <c r="H111" s="173"/>
      <c r="I111" s="82"/>
      <c r="J111" s="770"/>
      <c r="K111" s="765"/>
      <c r="L111" s="766"/>
      <c r="M111" s="767"/>
      <c r="N111" s="10"/>
      <c r="O111" s="771" t="s">
        <v>656</v>
      </c>
      <c r="P111" s="860"/>
      <c r="Q111" s="772"/>
      <c r="R111" s="134" t="b">
        <v>0</v>
      </c>
      <c r="S111" s="10"/>
      <c r="T111" s="835"/>
      <c r="U111" s="701"/>
      <c r="V111" s="701"/>
      <c r="W111" s="836"/>
      <c r="X111" s="12"/>
      <c r="Y111" s="173"/>
      <c r="Z111" s="9"/>
      <c r="AA111" s="843"/>
      <c r="AB111" s="844"/>
      <c r="AC111" s="844"/>
      <c r="AD111" s="845"/>
      <c r="AE111" s="12"/>
      <c r="AF111" s="91"/>
      <c r="AG111" s="123">
        <f t="shared" si="21"/>
        <v>0</v>
      </c>
      <c r="AI111" s="700"/>
    </row>
    <row r="112" spans="2:35" ht="19" thickBot="1">
      <c r="B112" s="82"/>
      <c r="C112"/>
      <c r="D112"/>
      <c r="E112"/>
      <c r="F112"/>
      <c r="G112" s="83"/>
      <c r="H112" s="177"/>
      <c r="I112" s="82"/>
      <c r="J112" s="65"/>
      <c r="K112" s="232"/>
      <c r="L112" s="232"/>
      <c r="M112" s="232"/>
      <c r="N112"/>
      <c r="O112" s="10"/>
      <c r="P112" s="18"/>
      <c r="Q112" s="18"/>
      <c r="R112" s="18"/>
      <c r="S112"/>
      <c r="T112" s="10"/>
      <c r="U112" s="10"/>
      <c r="V112" s="10"/>
      <c r="W112" s="10"/>
      <c r="X112" s="83"/>
      <c r="Y112" s="177"/>
      <c r="Z112" s="82"/>
      <c r="AA112" s="8"/>
      <c r="AB112" s="324"/>
      <c r="AC112" s="324"/>
      <c r="AD112" s="324"/>
      <c r="AE112" s="83"/>
      <c r="AG112" s="129">
        <f>SUM(AG86:AG111)</f>
        <v>0</v>
      </c>
      <c r="AH112" s="129">
        <f>SUM(AH86:AH111)</f>
        <v>0</v>
      </c>
      <c r="AI112" s="129"/>
    </row>
    <row r="113" spans="2:35" ht="19" thickTop="1">
      <c r="B113" s="82"/>
      <c r="C113" s="898"/>
      <c r="D113" s="899"/>
      <c r="E113" s="899"/>
      <c r="F113" s="900"/>
      <c r="G113" s="83"/>
      <c r="H113" s="177"/>
      <c r="I113" s="82"/>
      <c r="J113" s="28" t="s">
        <v>40</v>
      </c>
      <c r="K113" s="225" t="s">
        <v>857</v>
      </c>
      <c r="L113" s="232"/>
      <c r="M113" s="232"/>
      <c r="N113"/>
      <c r="O113" s="10"/>
      <c r="P113" s="18"/>
      <c r="Q113" s="18"/>
      <c r="R113" s="18"/>
      <c r="S113"/>
      <c r="T113" s="10"/>
      <c r="U113" s="10"/>
      <c r="V113" s="10"/>
      <c r="W113" s="10"/>
      <c r="X113" s="83"/>
      <c r="Y113" s="177"/>
      <c r="Z113" s="82"/>
      <c r="AA113" s="837" t="str">
        <f>IF(AG118,Feedback_List!B78,IF(Milestone_5!AG117,Feedback_List!C78,IF(Milestone_5!AG116,Feedback_List!C78," ")))</f>
        <v xml:space="preserve"> </v>
      </c>
      <c r="AB113" s="838"/>
      <c r="AC113" s="838"/>
      <c r="AD113" s="839"/>
      <c r="AE113" s="83"/>
    </row>
    <row r="114" spans="2:35">
      <c r="B114" s="82"/>
      <c r="C114" s="901"/>
      <c r="D114" s="902"/>
      <c r="E114" s="902"/>
      <c r="F114" s="903"/>
      <c r="G114" s="83"/>
      <c r="H114" s="177"/>
      <c r="I114" s="82"/>
      <c r="J114" s="65"/>
      <c r="K114" s="232"/>
      <c r="L114" s="232"/>
      <c r="M114" s="232"/>
      <c r="N114"/>
      <c r="O114" s="10"/>
      <c r="P114" s="18"/>
      <c r="Q114" s="18"/>
      <c r="R114" s="18"/>
      <c r="S114"/>
      <c r="T114" s="10"/>
      <c r="U114" s="10"/>
      <c r="V114" s="10"/>
      <c r="W114" s="10"/>
      <c r="X114" s="83"/>
      <c r="Y114" s="177"/>
      <c r="Z114" s="82"/>
      <c r="AA114" s="840"/>
      <c r="AB114" s="841"/>
      <c r="AC114" s="841"/>
      <c r="AD114" s="842"/>
      <c r="AE114" s="83"/>
    </row>
    <row r="115" spans="2:35" ht="40.5" customHeight="1">
      <c r="B115" s="2"/>
      <c r="C115" s="901"/>
      <c r="D115" s="902"/>
      <c r="E115" s="902"/>
      <c r="F115" s="903"/>
      <c r="G115" s="3"/>
      <c r="H115" s="176"/>
      <c r="I115" s="82"/>
      <c r="J115" s="858">
        <v>4.0999999999999996</v>
      </c>
      <c r="K115" s="859" t="s">
        <v>683</v>
      </c>
      <c r="L115" s="859"/>
      <c r="M115" s="859"/>
      <c r="N115" s="273"/>
      <c r="O115" s="695" t="s">
        <v>427</v>
      </c>
      <c r="P115" s="696"/>
      <c r="Q115" s="697"/>
      <c r="R115" s="134" t="b">
        <v>0</v>
      </c>
      <c r="S115" s="274"/>
      <c r="T115" s="720" t="s">
        <v>80</v>
      </c>
      <c r="U115" s="720"/>
      <c r="V115" s="720"/>
      <c r="W115" s="720"/>
      <c r="X115" s="4"/>
      <c r="Y115" s="176"/>
      <c r="Z115" s="2"/>
      <c r="AA115" s="840"/>
      <c r="AB115" s="841"/>
      <c r="AC115" s="841"/>
      <c r="AD115" s="842"/>
      <c r="AE115" s="3"/>
      <c r="AF115" s="143"/>
      <c r="AG115" s="132">
        <f t="shared" ref="AG115:AG116" si="23">IF(R115, 1, 0)</f>
        <v>0</v>
      </c>
      <c r="AH115" s="121">
        <f>IF(AG115,5,IF(AG116,3,IF(AG117,2,IF(AG118,0,0))))</f>
        <v>0</v>
      </c>
      <c r="AI115" s="698">
        <f>SUM(AH115:AH123) * AN10</f>
        <v>0</v>
      </c>
    </row>
    <row r="116" spans="2:35" ht="40.5" customHeight="1">
      <c r="B116" s="2"/>
      <c r="C116" s="901"/>
      <c r="D116" s="902"/>
      <c r="E116" s="902"/>
      <c r="F116" s="903"/>
      <c r="G116" s="3"/>
      <c r="H116" s="176"/>
      <c r="I116" s="82"/>
      <c r="J116" s="858"/>
      <c r="K116" s="859"/>
      <c r="L116" s="859"/>
      <c r="M116" s="859"/>
      <c r="N116" s="273"/>
      <c r="O116" s="695" t="s">
        <v>428</v>
      </c>
      <c r="P116" s="696"/>
      <c r="Q116" s="697"/>
      <c r="R116" s="134" t="b">
        <v>0</v>
      </c>
      <c r="S116" s="274"/>
      <c r="T116" s="720"/>
      <c r="U116" s="720"/>
      <c r="V116" s="720"/>
      <c r="W116" s="720"/>
      <c r="X116" s="4"/>
      <c r="Y116" s="176"/>
      <c r="Z116" s="2"/>
      <c r="AA116" s="840"/>
      <c r="AB116" s="841"/>
      <c r="AC116" s="841"/>
      <c r="AD116" s="842"/>
      <c r="AE116" s="3"/>
      <c r="AF116" s="143"/>
      <c r="AG116" s="123">
        <f t="shared" si="23"/>
        <v>0</v>
      </c>
      <c r="AH116" s="122"/>
      <c r="AI116" s="699"/>
    </row>
    <row r="117" spans="2:35" ht="40.5" customHeight="1">
      <c r="B117" s="5"/>
      <c r="C117" s="901"/>
      <c r="D117" s="902"/>
      <c r="E117" s="902"/>
      <c r="F117" s="903"/>
      <c r="G117" s="4"/>
      <c r="H117" s="176"/>
      <c r="I117" s="82"/>
      <c r="J117" s="858"/>
      <c r="K117" s="859"/>
      <c r="L117" s="859"/>
      <c r="M117" s="859"/>
      <c r="N117" s="273"/>
      <c r="O117" s="695" t="s">
        <v>429</v>
      </c>
      <c r="P117" s="696"/>
      <c r="Q117" s="697"/>
      <c r="R117" s="134" t="b">
        <v>0</v>
      </c>
      <c r="S117" s="274"/>
      <c r="T117" s="720"/>
      <c r="U117" s="720"/>
      <c r="V117" s="720"/>
      <c r="W117" s="720"/>
      <c r="X117" s="4"/>
      <c r="Y117" s="176"/>
      <c r="Z117" s="5"/>
      <c r="AA117" s="840"/>
      <c r="AB117" s="841"/>
      <c r="AC117" s="841"/>
      <c r="AD117" s="842"/>
      <c r="AE117" s="4"/>
      <c r="AF117" s="144"/>
      <c r="AG117" s="123">
        <f>IF(R117, 1, 0)</f>
        <v>0</v>
      </c>
      <c r="AH117" s="122"/>
      <c r="AI117" s="699"/>
    </row>
    <row r="118" spans="2:35" ht="40.5" customHeight="1">
      <c r="B118" s="5"/>
      <c r="C118" s="901"/>
      <c r="D118" s="902"/>
      <c r="E118" s="902"/>
      <c r="F118" s="903"/>
      <c r="G118" s="4"/>
      <c r="H118" s="176"/>
      <c r="I118" s="82"/>
      <c r="J118" s="858"/>
      <c r="K118" s="859"/>
      <c r="L118" s="859"/>
      <c r="M118" s="859"/>
      <c r="N118" s="273"/>
      <c r="O118" s="695" t="s">
        <v>430</v>
      </c>
      <c r="P118" s="696"/>
      <c r="Q118" s="697"/>
      <c r="R118" s="134" t="b">
        <v>0</v>
      </c>
      <c r="S118" s="274"/>
      <c r="T118" s="720"/>
      <c r="U118" s="720"/>
      <c r="V118" s="720"/>
      <c r="W118" s="720"/>
      <c r="X118" s="4"/>
      <c r="Y118" s="176"/>
      <c r="Z118" s="5"/>
      <c r="AA118" s="843"/>
      <c r="AB118" s="844"/>
      <c r="AC118" s="844"/>
      <c r="AD118" s="845"/>
      <c r="AE118" s="4"/>
      <c r="AF118" s="144"/>
      <c r="AG118" s="123">
        <f t="shared" ref="AG118" si="24">IF(R118, 1, 0)</f>
        <v>0</v>
      </c>
      <c r="AH118" s="122"/>
      <c r="AI118" s="699"/>
    </row>
    <row r="119" spans="2:35">
      <c r="B119" s="5"/>
      <c r="C119" s="901"/>
      <c r="D119" s="902"/>
      <c r="E119" s="902"/>
      <c r="F119" s="903"/>
      <c r="G119" s="4"/>
      <c r="H119" s="176"/>
      <c r="I119" s="82"/>
      <c r="J119" s="66"/>
      <c r="K119" s="226"/>
      <c r="L119" s="226"/>
      <c r="M119" s="226"/>
      <c r="N119" s="275"/>
      <c r="O119" s="942"/>
      <c r="P119" s="942"/>
      <c r="Q119" s="942"/>
      <c r="R119" s="18"/>
      <c r="S119" s="276"/>
      <c r="T119" s="32"/>
      <c r="U119" s="32"/>
      <c r="V119" s="32"/>
      <c r="W119" s="32"/>
      <c r="X119" s="6"/>
      <c r="Y119" s="176"/>
      <c r="Z119" s="5"/>
      <c r="AA119" s="245"/>
      <c r="AB119" s="293"/>
      <c r="AC119" s="293"/>
      <c r="AD119" s="293"/>
      <c r="AE119" s="4"/>
      <c r="AF119" s="144"/>
      <c r="AG119" s="123"/>
      <c r="AH119" s="122"/>
      <c r="AI119" s="699"/>
    </row>
    <row r="120" spans="2:35" ht="38" customHeight="1">
      <c r="B120" s="2"/>
      <c r="C120" s="901"/>
      <c r="D120" s="902"/>
      <c r="E120" s="902"/>
      <c r="F120" s="903"/>
      <c r="G120" s="3"/>
      <c r="H120" s="176"/>
      <c r="I120" s="82"/>
      <c r="J120" s="858">
        <v>4.2</v>
      </c>
      <c r="K120" s="859" t="s">
        <v>684</v>
      </c>
      <c r="L120" s="859"/>
      <c r="M120" s="859"/>
      <c r="N120" s="273"/>
      <c r="O120" s="914" t="s">
        <v>431</v>
      </c>
      <c r="P120" s="915"/>
      <c r="Q120" s="916"/>
      <c r="R120" s="134" t="b">
        <v>0</v>
      </c>
      <c r="S120" s="274"/>
      <c r="T120" s="720" t="s">
        <v>80</v>
      </c>
      <c r="U120" s="720"/>
      <c r="V120" s="720"/>
      <c r="W120" s="720"/>
      <c r="X120" s="4"/>
      <c r="Y120" s="176"/>
      <c r="Z120" s="2"/>
      <c r="AA120" s="837" t="str">
        <f>IF(AG123,Feedback_List!B79, " ")</f>
        <v xml:space="preserve"> </v>
      </c>
      <c r="AB120" s="838"/>
      <c r="AC120" s="838"/>
      <c r="AD120" s="839"/>
      <c r="AE120" s="3"/>
      <c r="AF120" s="143"/>
      <c r="AG120" s="123">
        <f t="shared" ref="AG120:AG121" si="25">IF(R120, 1, 0)</f>
        <v>0</v>
      </c>
      <c r="AH120" s="122">
        <f>IF(AG120,5,IF(AG121,3,IF(AG122,2,IF(AG123,0,0))))</f>
        <v>0</v>
      </c>
      <c r="AI120" s="699"/>
    </row>
    <row r="121" spans="2:35" ht="38" customHeight="1">
      <c r="B121" s="2"/>
      <c r="C121" s="901"/>
      <c r="D121" s="902"/>
      <c r="E121" s="902"/>
      <c r="F121" s="903"/>
      <c r="G121" s="3"/>
      <c r="H121" s="176"/>
      <c r="I121" s="82"/>
      <c r="J121" s="858"/>
      <c r="K121" s="859"/>
      <c r="L121" s="859"/>
      <c r="M121" s="859"/>
      <c r="N121" s="273"/>
      <c r="O121" s="914" t="s">
        <v>432</v>
      </c>
      <c r="P121" s="915"/>
      <c r="Q121" s="916"/>
      <c r="R121" s="134" t="b">
        <v>0</v>
      </c>
      <c r="S121" s="274"/>
      <c r="T121" s="720"/>
      <c r="U121" s="720"/>
      <c r="V121" s="720"/>
      <c r="W121" s="720"/>
      <c r="X121" s="4"/>
      <c r="Y121" s="176"/>
      <c r="Z121" s="2"/>
      <c r="AA121" s="840"/>
      <c r="AB121" s="841"/>
      <c r="AC121" s="841"/>
      <c r="AD121" s="842"/>
      <c r="AE121" s="3"/>
      <c r="AF121" s="143"/>
      <c r="AG121" s="123">
        <f t="shared" si="25"/>
        <v>0</v>
      </c>
      <c r="AH121" s="122"/>
      <c r="AI121" s="699"/>
    </row>
    <row r="122" spans="2:35" ht="38" customHeight="1">
      <c r="B122" s="5"/>
      <c r="C122" s="901"/>
      <c r="D122" s="902"/>
      <c r="E122" s="902"/>
      <c r="F122" s="903"/>
      <c r="G122" s="4"/>
      <c r="H122" s="176"/>
      <c r="I122" s="82"/>
      <c r="J122" s="858"/>
      <c r="K122" s="859"/>
      <c r="L122" s="859"/>
      <c r="M122" s="859"/>
      <c r="N122" s="273"/>
      <c r="O122" s="914" t="s">
        <v>433</v>
      </c>
      <c r="P122" s="915"/>
      <c r="Q122" s="916"/>
      <c r="R122" s="134" t="b">
        <v>0</v>
      </c>
      <c r="S122" s="274"/>
      <c r="T122" s="720"/>
      <c r="U122" s="720"/>
      <c r="V122" s="720"/>
      <c r="W122" s="720"/>
      <c r="X122" s="4"/>
      <c r="Y122" s="176"/>
      <c r="Z122" s="5"/>
      <c r="AA122" s="840"/>
      <c r="AB122" s="841"/>
      <c r="AC122" s="841"/>
      <c r="AD122" s="842"/>
      <c r="AE122" s="4"/>
      <c r="AF122" s="144"/>
      <c r="AG122" s="123">
        <f>IF(R122, 1, 0)</f>
        <v>0</v>
      </c>
      <c r="AH122" s="122"/>
      <c r="AI122" s="699"/>
    </row>
    <row r="123" spans="2:35" ht="16">
      <c r="B123" s="5"/>
      <c r="C123" s="901"/>
      <c r="D123" s="902"/>
      <c r="E123" s="902"/>
      <c r="F123" s="903"/>
      <c r="G123" s="4"/>
      <c r="H123" s="176"/>
      <c r="I123" s="82"/>
      <c r="J123" s="858"/>
      <c r="K123" s="859"/>
      <c r="L123" s="859"/>
      <c r="M123" s="859"/>
      <c r="N123" s="273"/>
      <c r="O123" s="695" t="s">
        <v>488</v>
      </c>
      <c r="P123" s="696"/>
      <c r="Q123" s="697"/>
      <c r="R123" s="134" t="b">
        <v>0</v>
      </c>
      <c r="S123" s="274"/>
      <c r="T123" s="720"/>
      <c r="U123" s="720"/>
      <c r="V123" s="720"/>
      <c r="W123" s="720"/>
      <c r="X123" s="4"/>
      <c r="Y123" s="176"/>
      <c r="Z123" s="5"/>
      <c r="AA123" s="843"/>
      <c r="AB123" s="844"/>
      <c r="AC123" s="844"/>
      <c r="AD123" s="845"/>
      <c r="AE123" s="4"/>
      <c r="AF123" s="144"/>
      <c r="AG123" s="110">
        <f t="shared" ref="AG123" si="26">IF(R123, 1, 0)</f>
        <v>0</v>
      </c>
      <c r="AH123" s="111"/>
      <c r="AI123" s="700"/>
    </row>
    <row r="124" spans="2:35" ht="33.5" customHeight="1" thickBot="1">
      <c r="B124" s="82"/>
      <c r="C124" s="901"/>
      <c r="D124" s="902"/>
      <c r="E124" s="902"/>
      <c r="F124" s="903"/>
      <c r="G124" s="83"/>
      <c r="H124" s="177"/>
      <c r="I124" s="82"/>
      <c r="J124" s="65"/>
      <c r="K124" s="232"/>
      <c r="L124" s="232"/>
      <c r="M124" s="232"/>
      <c r="N124"/>
      <c r="O124" s="10"/>
      <c r="P124" s="18"/>
      <c r="Q124" s="18"/>
      <c r="R124" s="18"/>
      <c r="S124"/>
      <c r="T124" s="10"/>
      <c r="U124" s="10"/>
      <c r="V124" s="10"/>
      <c r="W124" s="10"/>
      <c r="X124" s="83"/>
      <c r="Y124" s="177"/>
      <c r="Z124" s="82"/>
      <c r="AA124" s="8"/>
      <c r="AB124" s="324"/>
      <c r="AC124" s="324"/>
      <c r="AD124" s="324"/>
      <c r="AE124" s="83"/>
      <c r="AG124" s="129">
        <f>SUM(AG115:AG123)</f>
        <v>0</v>
      </c>
      <c r="AH124" s="129">
        <f>SUM(AH115:AH123)</f>
        <v>0</v>
      </c>
      <c r="AI124" s="129"/>
    </row>
    <row r="125" spans="2:35" ht="21" thickTop="1">
      <c r="B125" s="82"/>
      <c r="C125" s="904"/>
      <c r="D125" s="905"/>
      <c r="E125" s="905"/>
      <c r="F125" s="906"/>
      <c r="G125" s="83"/>
      <c r="H125" s="177"/>
      <c r="I125" s="82"/>
      <c r="J125" s="789" t="s">
        <v>960</v>
      </c>
      <c r="K125" s="790"/>
      <c r="L125" s="790"/>
      <c r="M125" s="790"/>
      <c r="N125" s="790"/>
      <c r="O125" s="790"/>
      <c r="P125" s="790"/>
      <c r="Q125" s="790"/>
      <c r="R125" s="791"/>
      <c r="S125" s="79"/>
      <c r="T125" s="939" t="str">
        <f>ROUND(AI115+AI86+AI26+AI7,0) &amp; "/15"</f>
        <v>0/15</v>
      </c>
      <c r="U125" s="940"/>
      <c r="V125" s="940"/>
      <c r="W125" s="941"/>
      <c r="X125" s="83"/>
      <c r="Y125" s="177"/>
      <c r="Z125" s="82"/>
      <c r="AA125" s="8"/>
      <c r="AB125" s="324"/>
      <c r="AC125" s="324"/>
      <c r="AD125" s="324"/>
      <c r="AE125" s="83"/>
    </row>
    <row r="126" spans="2:35" ht="19" thickBot="1">
      <c r="B126" s="84"/>
      <c r="C126" s="85"/>
      <c r="D126" s="85"/>
      <c r="E126" s="85"/>
      <c r="F126" s="85"/>
      <c r="G126" s="86"/>
      <c r="H126" s="177"/>
      <c r="I126" s="84"/>
      <c r="J126" s="67"/>
      <c r="K126" s="233"/>
      <c r="L126" s="233"/>
      <c r="M126" s="233"/>
      <c r="N126" s="85"/>
      <c r="O126" s="15"/>
      <c r="P126" s="63"/>
      <c r="Q126" s="63"/>
      <c r="R126" s="63"/>
      <c r="S126" s="85"/>
      <c r="T126" s="15"/>
      <c r="U126" s="15"/>
      <c r="V126" s="15"/>
      <c r="W126" s="15"/>
      <c r="X126" s="86"/>
      <c r="Y126" s="177"/>
      <c r="Z126" s="84"/>
      <c r="AA126" s="77"/>
      <c r="AB126" s="325"/>
      <c r="AC126" s="325"/>
      <c r="AD126" s="325"/>
      <c r="AE126" s="86"/>
    </row>
  </sheetData>
  <mergeCells count="164">
    <mergeCell ref="AI7:AI22"/>
    <mergeCell ref="C113:F125"/>
    <mergeCell ref="T125:W125"/>
    <mergeCell ref="J125:R125"/>
    <mergeCell ref="J120:J123"/>
    <mergeCell ref="K120:M123"/>
    <mergeCell ref="O120:Q120"/>
    <mergeCell ref="T120:W123"/>
    <mergeCell ref="J115:J118"/>
    <mergeCell ref="K115:M118"/>
    <mergeCell ref="O115:Q115"/>
    <mergeCell ref="T115:W118"/>
    <mergeCell ref="O116:Q116"/>
    <mergeCell ref="O117:Q117"/>
    <mergeCell ref="O118:Q118"/>
    <mergeCell ref="O82:Q82"/>
    <mergeCell ref="O99:Q99"/>
    <mergeCell ref="J97:J102"/>
    <mergeCell ref="O119:Q119"/>
    <mergeCell ref="AA97:AD102"/>
    <mergeCell ref="O111:Q111"/>
    <mergeCell ref="T104:W111"/>
    <mergeCell ref="K104:M111"/>
    <mergeCell ref="J104:J111"/>
    <mergeCell ref="AA104:AD111"/>
    <mergeCell ref="O100:Q100"/>
    <mergeCell ref="O101:Q101"/>
    <mergeCell ref="AA113:AD118"/>
    <mergeCell ref="O104:Q104"/>
    <mergeCell ref="K97:M102"/>
    <mergeCell ref="O102:Q102"/>
    <mergeCell ref="T97:W102"/>
    <mergeCell ref="T86:W95"/>
    <mergeCell ref="O95:Q95"/>
    <mergeCell ref="O94:Q94"/>
    <mergeCell ref="AI26:AI82"/>
    <mergeCell ref="AI115:AI123"/>
    <mergeCell ref="B2:G3"/>
    <mergeCell ref="AA120:AD123"/>
    <mergeCell ref="O121:Q121"/>
    <mergeCell ref="O122:Q122"/>
    <mergeCell ref="O123:Q123"/>
    <mergeCell ref="AA86:AD95"/>
    <mergeCell ref="O86:Q86"/>
    <mergeCell ref="O87:Q87"/>
    <mergeCell ref="O88:Q88"/>
    <mergeCell ref="O89:Q89"/>
    <mergeCell ref="O90:Q90"/>
    <mergeCell ref="T56:W61"/>
    <mergeCell ref="AA56:AD61"/>
    <mergeCell ref="O97:Q97"/>
    <mergeCell ref="C5:F23"/>
    <mergeCell ref="C25:F83"/>
    <mergeCell ref="O98:Q98"/>
    <mergeCell ref="AA70:AD75"/>
    <mergeCell ref="O71:Q71"/>
    <mergeCell ref="O72:Q72"/>
    <mergeCell ref="T77:W82"/>
    <mergeCell ref="AA77:AD82"/>
    <mergeCell ref="O46:Q46"/>
    <mergeCell ref="AA63:AD68"/>
    <mergeCell ref="O67:Q67"/>
    <mergeCell ref="AA48:AD54"/>
    <mergeCell ref="O49:Q49"/>
    <mergeCell ref="O50:Q50"/>
    <mergeCell ref="O51:Q51"/>
    <mergeCell ref="O52:Q52"/>
    <mergeCell ref="O54:Q54"/>
    <mergeCell ref="O73:Q73"/>
    <mergeCell ref="O63:Q63"/>
    <mergeCell ref="O64:Q64"/>
    <mergeCell ref="O65:Q65"/>
    <mergeCell ref="O66:Q66"/>
    <mergeCell ref="O68:Q68"/>
    <mergeCell ref="O27:Q27"/>
    <mergeCell ref="I2:X3"/>
    <mergeCell ref="Z2:AE3"/>
    <mergeCell ref="J7:J10"/>
    <mergeCell ref="K7:M10"/>
    <mergeCell ref="T7:W10"/>
    <mergeCell ref="AA7:AD10"/>
    <mergeCell ref="O7:Q7"/>
    <mergeCell ref="O8:Q8"/>
    <mergeCell ref="O9:Q9"/>
    <mergeCell ref="O10:Q10"/>
    <mergeCell ref="AA24:AD32"/>
    <mergeCell ref="O41:Q41"/>
    <mergeCell ref="AA34:AD39"/>
    <mergeCell ref="T41:W46"/>
    <mergeCell ref="AA41:AD46"/>
    <mergeCell ref="O42:Q42"/>
    <mergeCell ref="O43:Q43"/>
    <mergeCell ref="AA12:AD22"/>
    <mergeCell ref="AN5:AN6"/>
    <mergeCell ref="AP13:AP21"/>
    <mergeCell ref="O53:Q53"/>
    <mergeCell ref="O60:Q60"/>
    <mergeCell ref="K26:M32"/>
    <mergeCell ref="J26:J32"/>
    <mergeCell ref="O28:Q28"/>
    <mergeCell ref="O29:Q29"/>
    <mergeCell ref="O30:Q30"/>
    <mergeCell ref="O31:Q31"/>
    <mergeCell ref="O32:Q32"/>
    <mergeCell ref="K34:M39"/>
    <mergeCell ref="J34:J39"/>
    <mergeCell ref="T26:W32"/>
    <mergeCell ref="O34:Q34"/>
    <mergeCell ref="O35:Q35"/>
    <mergeCell ref="O36:Q36"/>
    <mergeCell ref="O37:Q37"/>
    <mergeCell ref="O38:Q38"/>
    <mergeCell ref="O39:Q39"/>
    <mergeCell ref="O26:Q26"/>
    <mergeCell ref="O44:Q44"/>
    <mergeCell ref="O45:Q45"/>
    <mergeCell ref="C85:F111"/>
    <mergeCell ref="J86:J95"/>
    <mergeCell ref="K86:M95"/>
    <mergeCell ref="O91:Q91"/>
    <mergeCell ref="O93:Q93"/>
    <mergeCell ref="J70:J75"/>
    <mergeCell ref="K70:M75"/>
    <mergeCell ref="O70:Q70"/>
    <mergeCell ref="J77:J82"/>
    <mergeCell ref="O105:Q105"/>
    <mergeCell ref="O106:Q106"/>
    <mergeCell ref="O107:Q107"/>
    <mergeCell ref="O108:Q108"/>
    <mergeCell ref="O109:Q109"/>
    <mergeCell ref="O110:Q110"/>
    <mergeCell ref="K77:M82"/>
    <mergeCell ref="O80:Q80"/>
    <mergeCell ref="O79:Q79"/>
    <mergeCell ref="O78:Q78"/>
    <mergeCell ref="O77:Q77"/>
    <mergeCell ref="O81:Q81"/>
    <mergeCell ref="O92:Q92"/>
    <mergeCell ref="O75:Q75"/>
    <mergeCell ref="O74:Q74"/>
    <mergeCell ref="AI86:AI111"/>
    <mergeCell ref="Q21:R21"/>
    <mergeCell ref="O57:Q57"/>
    <mergeCell ref="O58:Q58"/>
    <mergeCell ref="O59:Q59"/>
    <mergeCell ref="O61:Q61"/>
    <mergeCell ref="J56:J61"/>
    <mergeCell ref="K56:M61"/>
    <mergeCell ref="O56:Q56"/>
    <mergeCell ref="T70:W75"/>
    <mergeCell ref="K12:M22"/>
    <mergeCell ref="J12:J22"/>
    <mergeCell ref="T12:W22"/>
    <mergeCell ref="T34:W39"/>
    <mergeCell ref="J48:J54"/>
    <mergeCell ref="K48:M54"/>
    <mergeCell ref="O48:Q48"/>
    <mergeCell ref="T48:W54"/>
    <mergeCell ref="T63:W68"/>
    <mergeCell ref="J63:J68"/>
    <mergeCell ref="K63:M68"/>
    <mergeCell ref="O22:Q22"/>
    <mergeCell ref="J41:J46"/>
    <mergeCell ref="K41:M46"/>
  </mergeCells>
  <conditionalFormatting sqref="O22:Q22">
    <cfRule type="expression" dxfId="197" priority="81">
      <formula>$R$22</formula>
    </cfRule>
  </conditionalFormatting>
  <conditionalFormatting sqref="O26:Q26">
    <cfRule type="expression" dxfId="196" priority="191">
      <formula>$R$26</formula>
    </cfRule>
  </conditionalFormatting>
  <conditionalFormatting sqref="O27:Q27">
    <cfRule type="expression" dxfId="195" priority="190">
      <formula>$R$27</formula>
    </cfRule>
  </conditionalFormatting>
  <conditionalFormatting sqref="O28:Q28">
    <cfRule type="expression" dxfId="194" priority="189">
      <formula>$R$28</formula>
    </cfRule>
  </conditionalFormatting>
  <conditionalFormatting sqref="O29:Q29">
    <cfRule type="expression" dxfId="193" priority="188">
      <formula>$R$29</formula>
    </cfRule>
  </conditionalFormatting>
  <conditionalFormatting sqref="O30:Q30">
    <cfRule type="expression" dxfId="192" priority="187">
      <formula>$R$30</formula>
    </cfRule>
  </conditionalFormatting>
  <conditionalFormatting sqref="O31:Q31">
    <cfRule type="expression" dxfId="191" priority="186">
      <formula>$R$31</formula>
    </cfRule>
  </conditionalFormatting>
  <conditionalFormatting sqref="O32:Q32">
    <cfRule type="expression" dxfId="190" priority="77">
      <formula>$R$32</formula>
    </cfRule>
  </conditionalFormatting>
  <conditionalFormatting sqref="O34:Q34">
    <cfRule type="expression" dxfId="189" priority="184">
      <formula>$R$34</formula>
    </cfRule>
  </conditionalFormatting>
  <conditionalFormatting sqref="O35:Q35">
    <cfRule type="expression" dxfId="188" priority="183">
      <formula>$R$35</formula>
    </cfRule>
  </conditionalFormatting>
  <conditionalFormatting sqref="O36:Q36">
    <cfRule type="expression" dxfId="187" priority="182">
      <formula>$R$36</formula>
    </cfRule>
  </conditionalFormatting>
  <conditionalFormatting sqref="O37:Q37">
    <cfRule type="expression" dxfId="186" priority="181">
      <formula>$R$37</formula>
    </cfRule>
  </conditionalFormatting>
  <conditionalFormatting sqref="O39:Q39">
    <cfRule type="expression" dxfId="185" priority="179">
      <formula>$R$39</formula>
    </cfRule>
  </conditionalFormatting>
  <conditionalFormatting sqref="O41:Q41">
    <cfRule type="expression" dxfId="184" priority="178">
      <formula>$R$41</formula>
    </cfRule>
  </conditionalFormatting>
  <conditionalFormatting sqref="O42:Q42">
    <cfRule type="expression" dxfId="183" priority="177">
      <formula>$R$42</formula>
    </cfRule>
  </conditionalFormatting>
  <conditionalFormatting sqref="O43:Q43">
    <cfRule type="expression" dxfId="182" priority="176">
      <formula>$R$43</formula>
    </cfRule>
  </conditionalFormatting>
  <conditionalFormatting sqref="O44:Q44">
    <cfRule type="expression" dxfId="181" priority="175">
      <formula>$R$44</formula>
    </cfRule>
  </conditionalFormatting>
  <conditionalFormatting sqref="O46:Q46">
    <cfRule type="expression" dxfId="180" priority="173">
      <formula>$R$46</formula>
    </cfRule>
  </conditionalFormatting>
  <conditionalFormatting sqref="O48:Q48">
    <cfRule type="expression" dxfId="179" priority="172">
      <formula>$R$48</formula>
    </cfRule>
  </conditionalFormatting>
  <conditionalFormatting sqref="O49:Q49">
    <cfRule type="expression" dxfId="178" priority="171">
      <formula>$R$49</formula>
    </cfRule>
  </conditionalFormatting>
  <conditionalFormatting sqref="O50:Q50">
    <cfRule type="expression" dxfId="177" priority="170">
      <formula>$R$50</formula>
    </cfRule>
  </conditionalFormatting>
  <conditionalFormatting sqref="O51:Q51">
    <cfRule type="expression" dxfId="176" priority="169">
      <formula>$R$51</formula>
    </cfRule>
  </conditionalFormatting>
  <conditionalFormatting sqref="O52:Q52">
    <cfRule type="expression" dxfId="175" priority="168">
      <formula>$R$52</formula>
    </cfRule>
  </conditionalFormatting>
  <conditionalFormatting sqref="O54:Q54">
    <cfRule type="expression" dxfId="174" priority="167">
      <formula>$R$54</formula>
    </cfRule>
  </conditionalFormatting>
  <conditionalFormatting sqref="O56:Q56">
    <cfRule type="expression" dxfId="173" priority="166">
      <formula>$R$56</formula>
    </cfRule>
  </conditionalFormatting>
  <conditionalFormatting sqref="O57:Q57">
    <cfRule type="expression" dxfId="172" priority="165">
      <formula>$R$57</formula>
    </cfRule>
  </conditionalFormatting>
  <conditionalFormatting sqref="O58:Q58">
    <cfRule type="expression" dxfId="171" priority="164">
      <formula>$R$58</formula>
    </cfRule>
  </conditionalFormatting>
  <conditionalFormatting sqref="O59:Q59">
    <cfRule type="expression" dxfId="170" priority="163">
      <formula>$R$59</formula>
    </cfRule>
  </conditionalFormatting>
  <conditionalFormatting sqref="O61:Q61">
    <cfRule type="expression" dxfId="169" priority="162">
      <formula>$R$61</formula>
    </cfRule>
  </conditionalFormatting>
  <conditionalFormatting sqref="O63:Q63">
    <cfRule type="expression" dxfId="168" priority="153">
      <formula>$R$63</formula>
    </cfRule>
  </conditionalFormatting>
  <conditionalFormatting sqref="O64:Q64">
    <cfRule type="expression" dxfId="167" priority="152">
      <formula>$R$64</formula>
    </cfRule>
  </conditionalFormatting>
  <conditionalFormatting sqref="O65:Q65">
    <cfRule type="expression" dxfId="166" priority="151">
      <formula>$R$65</formula>
    </cfRule>
  </conditionalFormatting>
  <conditionalFormatting sqref="O66:Q66">
    <cfRule type="expression" dxfId="165" priority="150">
      <formula>$R$66</formula>
    </cfRule>
  </conditionalFormatting>
  <conditionalFormatting sqref="O68:Q68">
    <cfRule type="expression" dxfId="164" priority="149">
      <formula>$R$68</formula>
    </cfRule>
  </conditionalFormatting>
  <conditionalFormatting sqref="O70:Q70">
    <cfRule type="expression" dxfId="163" priority="148">
      <formula>$R$70</formula>
    </cfRule>
  </conditionalFormatting>
  <conditionalFormatting sqref="O71:Q71">
    <cfRule type="expression" dxfId="162" priority="147">
      <formula>$R$71</formula>
    </cfRule>
  </conditionalFormatting>
  <conditionalFormatting sqref="O72:Q72">
    <cfRule type="expression" dxfId="161" priority="146">
      <formula>$R$72</formula>
    </cfRule>
  </conditionalFormatting>
  <conditionalFormatting sqref="O73:Q73">
    <cfRule type="expression" dxfId="160" priority="145">
      <formula>$R$73</formula>
    </cfRule>
  </conditionalFormatting>
  <conditionalFormatting sqref="O75:Q75">
    <cfRule type="expression" dxfId="159" priority="144">
      <formula>$R$75</formula>
    </cfRule>
  </conditionalFormatting>
  <conditionalFormatting sqref="O77:Q77">
    <cfRule type="expression" dxfId="158" priority="143">
      <formula>$R$77</formula>
    </cfRule>
  </conditionalFormatting>
  <conditionalFormatting sqref="O78:Q78">
    <cfRule type="expression" dxfId="157" priority="142">
      <formula>$R$78</formula>
    </cfRule>
  </conditionalFormatting>
  <conditionalFormatting sqref="O79:Q79">
    <cfRule type="expression" dxfId="156" priority="141">
      <formula>$R$79</formula>
    </cfRule>
  </conditionalFormatting>
  <conditionalFormatting sqref="O80:Q80">
    <cfRule type="expression" dxfId="155" priority="140">
      <formula>$R$80</formula>
    </cfRule>
  </conditionalFormatting>
  <conditionalFormatting sqref="O82:Q82">
    <cfRule type="expression" dxfId="154" priority="139">
      <formula>$R$82</formula>
    </cfRule>
  </conditionalFormatting>
  <conditionalFormatting sqref="O86:Q86">
    <cfRule type="expression" dxfId="153" priority="129">
      <formula>$R$86</formula>
    </cfRule>
  </conditionalFormatting>
  <conditionalFormatting sqref="O87:Q87">
    <cfRule type="expression" dxfId="152" priority="128">
      <formula>$R$87</formula>
    </cfRule>
  </conditionalFormatting>
  <conditionalFormatting sqref="O88:Q88">
    <cfRule type="expression" dxfId="151" priority="127">
      <formula>$R$88</formula>
    </cfRule>
  </conditionalFormatting>
  <conditionalFormatting sqref="O89:Q89">
    <cfRule type="expression" dxfId="150" priority="126">
      <formula>$R$89</formula>
    </cfRule>
  </conditionalFormatting>
  <conditionalFormatting sqref="O90:Q90">
    <cfRule type="expression" dxfId="149" priority="125">
      <formula>$R$90</formula>
    </cfRule>
  </conditionalFormatting>
  <conditionalFormatting sqref="O91:Q91">
    <cfRule type="expression" dxfId="148" priority="124">
      <formula>$R$91</formula>
    </cfRule>
  </conditionalFormatting>
  <conditionalFormatting sqref="O92:Q92">
    <cfRule type="expression" dxfId="147" priority="123">
      <formula>$R$92</formula>
    </cfRule>
  </conditionalFormatting>
  <conditionalFormatting sqref="O93:Q93">
    <cfRule type="expression" dxfId="146" priority="82">
      <formula>$R$93</formula>
    </cfRule>
  </conditionalFormatting>
  <conditionalFormatting sqref="O95:Q95">
    <cfRule type="expression" dxfId="145" priority="122">
      <formula>$R$95</formula>
    </cfRule>
  </conditionalFormatting>
  <conditionalFormatting sqref="O96:Q96 O110:Q110">
    <cfRule type="expression" dxfId="144" priority="443">
      <formula>$R$110</formula>
    </cfRule>
  </conditionalFormatting>
  <conditionalFormatting sqref="O97:Q97">
    <cfRule type="expression" dxfId="143" priority="121">
      <formula>$R$97</formula>
    </cfRule>
  </conditionalFormatting>
  <conditionalFormatting sqref="O98:Q98">
    <cfRule type="expression" dxfId="142" priority="120">
      <formula>$R$98</formula>
    </cfRule>
  </conditionalFormatting>
  <conditionalFormatting sqref="O99:Q99">
    <cfRule type="expression" dxfId="141" priority="119">
      <formula>$R$99</formula>
    </cfRule>
  </conditionalFormatting>
  <conditionalFormatting sqref="O100:Q100">
    <cfRule type="expression" dxfId="140" priority="118">
      <formula>$R$100</formula>
    </cfRule>
  </conditionalFormatting>
  <conditionalFormatting sqref="O101:Q101 O103:Q103">
    <cfRule type="expression" dxfId="139" priority="117">
      <formula>$R$101</formula>
    </cfRule>
  </conditionalFormatting>
  <conditionalFormatting sqref="O104:Q104">
    <cfRule type="expression" dxfId="138" priority="138">
      <formula>$R$104</formula>
    </cfRule>
  </conditionalFormatting>
  <conditionalFormatting sqref="O105:Q105">
    <cfRule type="expression" dxfId="137" priority="137">
      <formula>$R$105</formula>
    </cfRule>
  </conditionalFormatting>
  <conditionalFormatting sqref="O106:Q106">
    <cfRule type="expression" dxfId="136" priority="136">
      <formula>$R$106</formula>
    </cfRule>
  </conditionalFormatting>
  <conditionalFormatting sqref="O107:Q107">
    <cfRule type="expression" dxfId="135" priority="135">
      <formula>$R$107</formula>
    </cfRule>
  </conditionalFormatting>
  <conditionalFormatting sqref="O108:Q108">
    <cfRule type="expression" dxfId="134" priority="134">
      <formula>$R$108</formula>
    </cfRule>
  </conditionalFormatting>
  <conditionalFormatting sqref="O109:Q109">
    <cfRule type="expression" dxfId="133" priority="133">
      <formula>$R$109</formula>
    </cfRule>
  </conditionalFormatting>
  <conditionalFormatting sqref="O7:R7 O9:R10">
    <cfRule type="expression" dxfId="132" priority="90">
      <formula>$R$8</formula>
    </cfRule>
  </conditionalFormatting>
  <conditionalFormatting sqref="O7:R8 O10:R10">
    <cfRule type="expression" dxfId="131" priority="89">
      <formula>$R$9</formula>
    </cfRule>
  </conditionalFormatting>
  <conditionalFormatting sqref="O7:R9">
    <cfRule type="expression" dxfId="130" priority="88">
      <formula>$R$10</formula>
    </cfRule>
  </conditionalFormatting>
  <conditionalFormatting sqref="O8:R10">
    <cfRule type="expression" dxfId="129" priority="91">
      <formula>$R$7</formula>
    </cfRule>
  </conditionalFormatting>
  <conditionalFormatting sqref="O26:R32">
    <cfRule type="expression" dxfId="128" priority="499">
      <formula>#REF!</formula>
    </cfRule>
  </conditionalFormatting>
  <conditionalFormatting sqref="O34:R37">
    <cfRule type="expression" dxfId="127" priority="72">
      <formula>$R$38</formula>
    </cfRule>
  </conditionalFormatting>
  <conditionalFormatting sqref="O38:R38">
    <cfRule type="expression" dxfId="126" priority="9">
      <formula>$AG$26=0</formula>
    </cfRule>
  </conditionalFormatting>
  <conditionalFormatting sqref="O41:R44">
    <cfRule type="expression" dxfId="125" priority="70">
      <formula>$R$45</formula>
    </cfRule>
  </conditionalFormatting>
  <conditionalFormatting sqref="O45:R45">
    <cfRule type="expression" dxfId="124" priority="8">
      <formula>$AG$27=0</formula>
    </cfRule>
  </conditionalFormatting>
  <conditionalFormatting sqref="O48:R52">
    <cfRule type="expression" dxfId="123" priority="68">
      <formula>$R$53</formula>
    </cfRule>
  </conditionalFormatting>
  <conditionalFormatting sqref="O53:R53">
    <cfRule type="expression" dxfId="122" priority="7">
      <formula>$AG$28=0</formula>
    </cfRule>
  </conditionalFormatting>
  <conditionalFormatting sqref="O56:R59">
    <cfRule type="expression" dxfId="121" priority="66">
      <formula>$R$60</formula>
    </cfRule>
  </conditionalFormatting>
  <conditionalFormatting sqref="O60:R60">
    <cfRule type="expression" dxfId="120" priority="6">
      <formula>$AG$30=0</formula>
    </cfRule>
  </conditionalFormatting>
  <conditionalFormatting sqref="O63:R66">
    <cfRule type="expression" dxfId="119" priority="64">
      <formula>$R$67</formula>
    </cfRule>
  </conditionalFormatting>
  <conditionalFormatting sqref="O67:R67">
    <cfRule type="expression" dxfId="118" priority="5">
      <formula>$AG$30=0</formula>
    </cfRule>
  </conditionalFormatting>
  <conditionalFormatting sqref="O70:R73">
    <cfRule type="expression" dxfId="117" priority="61">
      <formula>$R$74</formula>
    </cfRule>
  </conditionalFormatting>
  <conditionalFormatting sqref="O74:R74">
    <cfRule type="expression" dxfId="116" priority="4">
      <formula>$AG$31=0</formula>
    </cfRule>
  </conditionalFormatting>
  <conditionalFormatting sqref="O77:R80">
    <cfRule type="expression" dxfId="115" priority="60">
      <formula>$R$81</formula>
    </cfRule>
  </conditionalFormatting>
  <conditionalFormatting sqref="O81:R81">
    <cfRule type="expression" dxfId="114" priority="3">
      <formula>$AG$32=0</formula>
    </cfRule>
  </conditionalFormatting>
  <conditionalFormatting sqref="O86:R93">
    <cfRule type="expression" dxfId="113" priority="58">
      <formula>$R$94</formula>
    </cfRule>
  </conditionalFormatting>
  <conditionalFormatting sqref="O97:R101">
    <cfRule type="expression" dxfId="112" priority="56">
      <formula>$R$102</formula>
    </cfRule>
  </conditionalFormatting>
  <conditionalFormatting sqref="O104:R110">
    <cfRule type="expression" dxfId="111" priority="54">
      <formula>$R$111</formula>
    </cfRule>
  </conditionalFormatting>
  <conditionalFormatting sqref="O115:R115 O117:R118">
    <cfRule type="expression" dxfId="110" priority="115">
      <formula>$R$116</formula>
    </cfRule>
  </conditionalFormatting>
  <conditionalFormatting sqref="O115:R116 O118:R118">
    <cfRule type="expression" dxfId="109" priority="114">
      <formula>$R$117</formula>
    </cfRule>
  </conditionalFormatting>
  <conditionalFormatting sqref="O115:R117">
    <cfRule type="expression" dxfId="108" priority="113">
      <formula>$R$118</formula>
    </cfRule>
  </conditionalFormatting>
  <conditionalFormatting sqref="O116:R118">
    <cfRule type="expression" dxfId="107" priority="116">
      <formula>$R$115</formula>
    </cfRule>
  </conditionalFormatting>
  <conditionalFormatting sqref="O120:R120 O122:R123">
    <cfRule type="expression" dxfId="106" priority="111">
      <formula>$R$121</formula>
    </cfRule>
  </conditionalFormatting>
  <conditionalFormatting sqref="O120:R121 O123:R123">
    <cfRule type="expression" dxfId="105" priority="110">
      <formula>$R$122</formula>
    </cfRule>
  </conditionalFormatting>
  <conditionalFormatting sqref="O120:R122">
    <cfRule type="expression" dxfId="104" priority="109">
      <formula>$R$123</formula>
    </cfRule>
  </conditionalFormatting>
  <conditionalFormatting sqref="O121:R123">
    <cfRule type="expression" dxfId="103" priority="112">
      <formula>$R$120</formula>
    </cfRule>
  </conditionalFormatting>
  <conditionalFormatting sqref="P21">
    <cfRule type="cellIs" dxfId="102" priority="79" operator="greaterThan">
      <formula>1</formula>
    </cfRule>
  </conditionalFormatting>
  <conditionalFormatting sqref="Q21:R21">
    <cfRule type="expression" dxfId="100" priority="1">
      <formula>$P$21&gt;$AG$3</formula>
    </cfRule>
  </conditionalFormatting>
  <conditionalFormatting sqref="T12:W22">
    <cfRule type="expression" dxfId="99" priority="513">
      <formula>$R$22</formula>
    </cfRule>
  </conditionalFormatting>
  <conditionalFormatting sqref="T34:W39">
    <cfRule type="expression" dxfId="98" priority="161">
      <formula>$R$39</formula>
    </cfRule>
  </conditionalFormatting>
  <conditionalFormatting sqref="T41:W46">
    <cfRule type="expression" dxfId="97" priority="160">
      <formula>$R$46</formula>
    </cfRule>
  </conditionalFormatting>
  <conditionalFormatting sqref="T48:W54">
    <cfRule type="expression" dxfId="96" priority="159">
      <formula>$R$54</formula>
    </cfRule>
  </conditionalFormatting>
  <conditionalFormatting sqref="T56:W61">
    <cfRule type="expression" dxfId="95" priority="158">
      <formula>$R$61</formula>
    </cfRule>
  </conditionalFormatting>
  <conditionalFormatting sqref="T63:W68">
    <cfRule type="expression" dxfId="94" priority="108">
      <formula>$R$68</formula>
    </cfRule>
    <cfRule type="expression" dxfId="93" priority="157">
      <formula>$R$68</formula>
    </cfRule>
  </conditionalFormatting>
  <conditionalFormatting sqref="T70:W75">
    <cfRule type="expression" dxfId="92" priority="156">
      <formula>$R$75</formula>
    </cfRule>
  </conditionalFormatting>
  <conditionalFormatting sqref="T77:W82">
    <cfRule type="expression" dxfId="91" priority="107">
      <formula>$R$82</formula>
    </cfRule>
  </conditionalFormatting>
  <conditionalFormatting sqref="T86:W95">
    <cfRule type="expression" dxfId="90" priority="154">
      <formula>$R$95</formula>
    </cfRule>
  </conditionalFormatting>
  <conditionalFormatting sqref="AA7:AD10">
    <cfRule type="expression" dxfId="89" priority="11">
      <formula>$R$9</formula>
    </cfRule>
    <cfRule type="expression" dxfId="88" priority="12">
      <formula>$R$8</formula>
    </cfRule>
    <cfRule type="expression" dxfId="87" priority="78">
      <formula>$R$10</formula>
    </cfRule>
  </conditionalFormatting>
  <conditionalFormatting sqref="AA34:AD39">
    <cfRule type="expression" dxfId="86" priority="71">
      <formula>$R$38</formula>
    </cfRule>
    <cfRule type="expression" dxfId="85" priority="48">
      <formula>$AG$34</formula>
    </cfRule>
    <cfRule type="expression" dxfId="84" priority="47">
      <formula>$AG$35</formula>
    </cfRule>
    <cfRule type="expression" dxfId="83" priority="46">
      <formula>$AG$36</formula>
    </cfRule>
    <cfRule type="expression" dxfId="82" priority="45">
      <formula>$AG$37</formula>
    </cfRule>
    <cfRule type="expression" dxfId="81" priority="44">
      <formula>SUM($AG$34:$AG$37)=4</formula>
    </cfRule>
  </conditionalFormatting>
  <conditionalFormatting sqref="AA41:AD46">
    <cfRule type="expression" dxfId="80" priority="39">
      <formula>SUM($AG$41:$AG$44)=4</formula>
    </cfRule>
    <cfRule type="expression" dxfId="79" priority="41">
      <formula>$AG$43</formula>
    </cfRule>
    <cfRule type="expression" dxfId="78" priority="40">
      <formula>$AG$44</formula>
    </cfRule>
    <cfRule type="expression" dxfId="77" priority="43">
      <formula>$AG$41</formula>
    </cfRule>
    <cfRule type="expression" dxfId="76" priority="42">
      <formula>$AG$42</formula>
    </cfRule>
    <cfRule type="expression" dxfId="75" priority="69">
      <formula>$R$45</formula>
    </cfRule>
  </conditionalFormatting>
  <conditionalFormatting sqref="AA48:AD54">
    <cfRule type="expression" dxfId="74" priority="67">
      <formula>$R$53</formula>
    </cfRule>
    <cfRule type="expression" dxfId="73" priority="38">
      <formula>$AG$48</formula>
    </cfRule>
    <cfRule type="expression" dxfId="72" priority="37">
      <formula>$AG$49</formula>
    </cfRule>
    <cfRule type="expression" dxfId="71" priority="36">
      <formula>$AG$50</formula>
    </cfRule>
    <cfRule type="expression" dxfId="70" priority="35">
      <formula>SUM($AG$48:$AG$50)=3</formula>
    </cfRule>
  </conditionalFormatting>
  <conditionalFormatting sqref="AA56:AD61">
    <cfRule type="expression" dxfId="69" priority="33">
      <formula>$AG$57</formula>
    </cfRule>
    <cfRule type="expression" dxfId="68" priority="65">
      <formula>$R$60</formula>
    </cfRule>
    <cfRule type="expression" dxfId="67" priority="30">
      <formula>SUM($AG$56:$AG$59)=4</formula>
    </cfRule>
    <cfRule type="expression" dxfId="66" priority="31">
      <formula>$AG$59</formula>
    </cfRule>
    <cfRule type="expression" dxfId="65" priority="32">
      <formula>$AG$58</formula>
    </cfRule>
    <cfRule type="expression" dxfId="64" priority="34">
      <formula>$AG$56</formula>
    </cfRule>
  </conditionalFormatting>
  <conditionalFormatting sqref="AA63:AD68">
    <cfRule type="expression" dxfId="63" priority="28">
      <formula>$AG$63</formula>
    </cfRule>
    <cfRule type="expression" dxfId="62" priority="27">
      <formula>$AG$64</formula>
    </cfRule>
    <cfRule type="expression" dxfId="61" priority="26">
      <formula>$AG$65</formula>
    </cfRule>
    <cfRule type="expression" dxfId="60" priority="25">
      <formula>$AG$66</formula>
    </cfRule>
    <cfRule type="expression" dxfId="59" priority="24">
      <formula>SUM($AG$63:$AG$66)=4</formula>
    </cfRule>
    <cfRule type="expression" dxfId="58" priority="63">
      <formula>$R$67</formula>
    </cfRule>
  </conditionalFormatting>
  <conditionalFormatting sqref="AA70:AD75">
    <cfRule type="expression" dxfId="57" priority="23">
      <formula>$AG$70</formula>
    </cfRule>
    <cfRule type="expression" dxfId="56" priority="22">
      <formula>$AG$71</formula>
    </cfRule>
    <cfRule type="expression" dxfId="55" priority="21">
      <formula>$AG$72</formula>
    </cfRule>
    <cfRule type="expression" dxfId="54" priority="19">
      <formula>SUM($AG$70:$AG$72)=3</formula>
    </cfRule>
    <cfRule type="expression" dxfId="53" priority="62">
      <formula>$R$74</formula>
    </cfRule>
  </conditionalFormatting>
  <conditionalFormatting sqref="AA77:AD82">
    <cfRule type="expression" dxfId="52" priority="18">
      <formula>$AG$77</formula>
    </cfRule>
    <cfRule type="expression" dxfId="51" priority="17">
      <formula>$AG$78</formula>
    </cfRule>
    <cfRule type="expression" dxfId="50" priority="16">
      <formula>$AG$79</formula>
    </cfRule>
    <cfRule type="expression" dxfId="49" priority="15">
      <formula>$AG$80</formula>
    </cfRule>
    <cfRule type="expression" dxfId="48" priority="14">
      <formula>SUM($AG$77:$AG$80)=4</formula>
    </cfRule>
    <cfRule type="expression" dxfId="47" priority="59">
      <formula>$AG$81</formula>
    </cfRule>
  </conditionalFormatting>
  <conditionalFormatting sqref="AA86:AD95">
    <cfRule type="expression" dxfId="46" priority="57">
      <formula>$AG$94</formula>
    </cfRule>
  </conditionalFormatting>
  <conditionalFormatting sqref="AA97:AD102">
    <cfRule type="expression" dxfId="45" priority="55">
      <formula>$AG$102</formula>
    </cfRule>
  </conditionalFormatting>
  <conditionalFormatting sqref="AA104:AD111">
    <cfRule type="expression" dxfId="44" priority="53">
      <formula>$AG$111</formula>
    </cfRule>
  </conditionalFormatting>
  <conditionalFormatting sqref="AA113:AD118">
    <cfRule type="expression" dxfId="43" priority="52">
      <formula>$AG$118</formula>
    </cfRule>
    <cfRule type="expression" dxfId="42" priority="51">
      <formula>$AG$117</formula>
    </cfRule>
    <cfRule type="expression" dxfId="41" priority="50">
      <formula>$AG$116</formula>
    </cfRule>
  </conditionalFormatting>
  <conditionalFormatting sqref="AA120:AD123">
    <cfRule type="expression" dxfId="40" priority="49">
      <formula>$AG$123</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3" id="{0DF6FFD8-0F59-4025-8C2A-7EBF916168DF}">
            <xm:f>$P$21&gt;Milestone_1!$O$103</xm:f>
            <x14:dxf>
              <font>
                <b/>
                <i val="0"/>
                <color rgb="FFFF0000"/>
              </font>
              <fill>
                <patternFill patternType="none">
                  <bgColor auto="1"/>
                </patternFill>
              </fill>
            </x14:dxf>
          </x14:cfRule>
          <xm:sqref>P21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02B7EA3-BC10-43EE-A639-A7258C3DB96B}">
          <x14:formula1>
            <xm:f>_xlfn.ANCHORARRAY(DropdownORNamemanagerLists!$D$61)</xm:f>
          </x14:formula1>
          <xm:sqref>Q13:Q20</xm:sqref>
        </x14:dataValidation>
        <x14:dataValidation type="list" allowBlank="1" showInputMessage="1" showErrorMessage="1" xr:uid="{4F466FF7-690C-412F-99CC-12FC25E9288E}">
          <x14:formula1>
            <xm:f>_xlfn.ANCHORARRAY(DropdownORNamemanagerLists!$E$61)</xm:f>
          </x14:formula1>
          <xm:sqref>R13:R20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4DE0-F2CD-454F-9488-8FB63ABEA868}">
  <sheetPr codeName="Sheet15">
    <tabColor theme="6" tint="0.39997558519241921"/>
  </sheetPr>
  <dimension ref="B1:AN49"/>
  <sheetViews>
    <sheetView showGridLines="0" zoomScale="55" zoomScaleNormal="55" workbookViewId="0">
      <selection activeCell="Z53" sqref="Z53"/>
    </sheetView>
  </sheetViews>
  <sheetFormatPr baseColWidth="10" defaultColWidth="8.6640625" defaultRowHeight="18"/>
  <cols>
    <col min="1" max="1" width="2.33203125" style="91" customWidth="1"/>
    <col min="2" max="2" width="3.33203125" style="91" customWidth="1"/>
    <col min="3" max="6" width="7.6640625" style="91" customWidth="1"/>
    <col min="7" max="9" width="3.33203125" style="91" customWidth="1"/>
    <col min="10" max="10" width="9.6640625" style="130" bestFit="1" customWidth="1"/>
    <col min="11" max="13" width="13.83203125" style="231" customWidth="1"/>
    <col min="14" max="14" width="3.33203125" style="91" customWidth="1"/>
    <col min="15" max="15" width="49.6640625" style="220" customWidth="1"/>
    <col min="16" max="16" width="50.83203125" style="220" customWidth="1"/>
    <col min="17" max="17" width="5.83203125" style="131" bestFit="1" customWidth="1"/>
    <col min="18" max="18" width="3.33203125" style="91" customWidth="1"/>
    <col min="19" max="20" width="8.6640625" style="91"/>
    <col min="21" max="21" width="8.6640625" style="91" customWidth="1"/>
    <col min="22" max="22" width="8.6640625" style="91"/>
    <col min="23" max="25" width="3.33203125" style="91" customWidth="1"/>
    <col min="26" max="29" width="19.83203125" style="91" customWidth="1"/>
    <col min="30" max="30" width="3.33203125" style="91" customWidth="1"/>
    <col min="31" max="31" width="4.5" style="91" customWidth="1"/>
    <col min="32" max="32" width="17.6640625" style="140" bestFit="1" customWidth="1"/>
    <col min="33" max="33" width="28.5" style="140" bestFit="1" customWidth="1"/>
    <col min="34" max="34" width="21" style="140" bestFit="1" customWidth="1"/>
    <col min="35" max="35" width="9.1640625" style="103" customWidth="1"/>
    <col min="36" max="36" width="11" style="102" bestFit="1" customWidth="1"/>
    <col min="37" max="37" width="16.5" style="102" bestFit="1" customWidth="1"/>
    <col min="38" max="38" width="13.6640625" style="97" bestFit="1" customWidth="1"/>
    <col min="39" max="39" width="12.83203125" style="97" customWidth="1"/>
    <col min="40" max="40" width="8.6640625" style="103"/>
    <col min="41" max="16384" width="8.6640625" style="91"/>
  </cols>
  <sheetData>
    <row r="1" spans="2:39" ht="15.5" customHeight="1" thickBot="1"/>
    <row r="2" spans="2:39" ht="16">
      <c r="B2" s="635" t="s">
        <v>81</v>
      </c>
      <c r="C2" s="636"/>
      <c r="D2" s="636"/>
      <c r="E2" s="636"/>
      <c r="F2" s="636"/>
      <c r="G2" s="637"/>
      <c r="H2" s="169"/>
      <c r="I2" s="635" t="s">
        <v>1077</v>
      </c>
      <c r="J2" s="636"/>
      <c r="K2" s="636"/>
      <c r="L2" s="636"/>
      <c r="M2" s="636"/>
      <c r="N2" s="636"/>
      <c r="O2" s="636"/>
      <c r="P2" s="636"/>
      <c r="Q2" s="636"/>
      <c r="R2" s="636"/>
      <c r="S2" s="636"/>
      <c r="T2" s="636"/>
      <c r="U2" s="636"/>
      <c r="V2" s="636"/>
      <c r="W2" s="637"/>
      <c r="X2" s="169"/>
      <c r="Y2" s="635" t="s">
        <v>454</v>
      </c>
      <c r="Z2" s="636"/>
      <c r="AA2" s="636"/>
      <c r="AB2" s="636"/>
      <c r="AC2" s="636"/>
      <c r="AD2" s="637"/>
      <c r="AE2" s="99"/>
      <c r="AF2" s="102"/>
      <c r="AG2" s="102"/>
      <c r="AH2" s="102"/>
    </row>
    <row r="3" spans="2:39" ht="17" thickBot="1">
      <c r="B3" s="638"/>
      <c r="C3" s="639"/>
      <c r="D3" s="639"/>
      <c r="E3" s="639"/>
      <c r="F3" s="639"/>
      <c r="G3" s="640"/>
      <c r="H3" s="169"/>
      <c r="I3" s="638"/>
      <c r="J3" s="639"/>
      <c r="K3" s="639"/>
      <c r="L3" s="639"/>
      <c r="M3" s="639"/>
      <c r="N3" s="639"/>
      <c r="O3" s="639"/>
      <c r="P3" s="639"/>
      <c r="Q3" s="639"/>
      <c r="R3" s="639"/>
      <c r="S3" s="639"/>
      <c r="T3" s="639"/>
      <c r="U3" s="639"/>
      <c r="V3" s="639"/>
      <c r="W3" s="640"/>
      <c r="X3" s="169"/>
      <c r="Y3" s="638"/>
      <c r="Z3" s="639"/>
      <c r="AA3" s="639"/>
      <c r="AB3" s="639"/>
      <c r="AC3" s="639"/>
      <c r="AD3" s="640"/>
      <c r="AE3" s="99"/>
      <c r="AF3" s="102"/>
      <c r="AG3" s="102"/>
      <c r="AH3" s="102"/>
    </row>
    <row r="4" spans="2:39">
      <c r="B4" s="19"/>
      <c r="C4" s="17"/>
      <c r="D4" s="17"/>
      <c r="E4" s="17"/>
      <c r="F4" s="17"/>
      <c r="G4" s="20"/>
      <c r="H4" s="169"/>
      <c r="I4" s="19"/>
      <c r="J4" s="56"/>
      <c r="K4" s="225"/>
      <c r="L4" s="224"/>
      <c r="M4" s="224"/>
      <c r="N4" s="17"/>
      <c r="O4" s="22"/>
      <c r="P4" s="22"/>
      <c r="Q4" s="25"/>
      <c r="R4" s="17"/>
      <c r="S4" s="17"/>
      <c r="T4" s="17"/>
      <c r="U4" s="17"/>
      <c r="V4" s="17"/>
      <c r="W4" s="20"/>
      <c r="X4" s="169"/>
      <c r="Y4" s="19"/>
      <c r="Z4" s="17"/>
      <c r="AA4" s="17"/>
      <c r="AB4" s="17"/>
      <c r="AC4" s="17"/>
      <c r="AD4" s="20"/>
      <c r="AE4" s="95"/>
      <c r="AF4" s="102"/>
      <c r="AG4" s="102"/>
      <c r="AH4" s="102"/>
    </row>
    <row r="5" spans="2:39">
      <c r="B5" s="19"/>
      <c r="C5" s="963"/>
      <c r="D5" s="964"/>
      <c r="E5" s="964"/>
      <c r="F5" s="965"/>
      <c r="G5" s="20"/>
      <c r="H5" s="169"/>
      <c r="I5" s="19"/>
      <c r="J5" s="28" t="s">
        <v>16</v>
      </c>
      <c r="K5" s="225" t="s">
        <v>323</v>
      </c>
      <c r="L5" s="224"/>
      <c r="M5" s="224"/>
      <c r="N5" s="17"/>
      <c r="O5" s="22"/>
      <c r="P5" s="22"/>
      <c r="Q5" s="25"/>
      <c r="R5" s="17"/>
      <c r="S5" s="17"/>
      <c r="T5" s="17"/>
      <c r="U5" s="17"/>
      <c r="V5" s="17"/>
      <c r="W5" s="20"/>
      <c r="X5" s="169"/>
      <c r="Y5" s="19"/>
      <c r="Z5" s="17"/>
      <c r="AA5" s="17"/>
      <c r="AB5" s="17"/>
      <c r="AC5" s="17"/>
      <c r="AD5" s="20"/>
      <c r="AE5" s="95"/>
      <c r="AF5" s="106" t="s">
        <v>440</v>
      </c>
      <c r="AG5" s="107" t="s">
        <v>555</v>
      </c>
      <c r="AH5" s="107" t="s">
        <v>502</v>
      </c>
      <c r="AJ5" s="109" t="s">
        <v>434</v>
      </c>
      <c r="AK5" s="109" t="s">
        <v>435</v>
      </c>
      <c r="AL5" s="109" t="s">
        <v>435</v>
      </c>
      <c r="AM5" s="691" t="s">
        <v>505</v>
      </c>
    </row>
    <row r="6" spans="2:39">
      <c r="B6" s="19"/>
      <c r="C6" s="966"/>
      <c r="D6" s="967"/>
      <c r="E6" s="967"/>
      <c r="F6" s="968"/>
      <c r="G6" s="20"/>
      <c r="H6" s="169"/>
      <c r="I6" s="19"/>
      <c r="J6" s="56"/>
      <c r="K6" s="224"/>
      <c r="L6" s="224"/>
      <c r="M6" s="224"/>
      <c r="N6" s="17"/>
      <c r="O6" s="22"/>
      <c r="P6" s="22"/>
      <c r="Q6" s="25"/>
      <c r="R6" s="17"/>
      <c r="S6" s="17"/>
      <c r="T6" s="17"/>
      <c r="U6" s="17"/>
      <c r="V6" s="17"/>
      <c r="W6" s="20"/>
      <c r="X6" s="169"/>
      <c r="Y6" s="19"/>
      <c r="Z6" s="17"/>
      <c r="AA6" s="17"/>
      <c r="AB6" s="17"/>
      <c r="AC6" s="17"/>
      <c r="AD6" s="20"/>
      <c r="AE6" s="95"/>
      <c r="AF6" s="110"/>
      <c r="AG6" s="111"/>
      <c r="AH6" s="111"/>
      <c r="AJ6" s="188"/>
      <c r="AK6" s="188" t="s">
        <v>503</v>
      </c>
      <c r="AL6" s="188" t="s">
        <v>504</v>
      </c>
      <c r="AM6" s="691"/>
    </row>
    <row r="7" spans="2:39" ht="31.5" customHeight="1">
      <c r="B7" s="19"/>
      <c r="C7" s="966"/>
      <c r="D7" s="967"/>
      <c r="E7" s="967"/>
      <c r="F7" s="968"/>
      <c r="G7" s="20"/>
      <c r="H7" s="169"/>
      <c r="I7" s="19"/>
      <c r="J7" s="673">
        <v>1.1000000000000001</v>
      </c>
      <c r="K7" s="612" t="s">
        <v>334</v>
      </c>
      <c r="L7" s="612"/>
      <c r="M7" s="612"/>
      <c r="N7" s="24"/>
      <c r="O7" s="943" t="s">
        <v>325</v>
      </c>
      <c r="P7" s="944"/>
      <c r="Q7" s="37" t="b">
        <v>0</v>
      </c>
      <c r="R7" s="22"/>
      <c r="S7" s="960" t="s">
        <v>80</v>
      </c>
      <c r="T7" s="960"/>
      <c r="U7" s="960"/>
      <c r="V7" s="960"/>
      <c r="W7" s="23"/>
      <c r="X7" s="169"/>
      <c r="Y7" s="19"/>
      <c r="Z7" s="659" t="str">
        <f>IF(AF11,Feedback_List!B81," ")</f>
        <v xml:space="preserve"> </v>
      </c>
      <c r="AA7" s="660"/>
      <c r="AB7" s="660"/>
      <c r="AC7" s="661"/>
      <c r="AD7" s="20"/>
      <c r="AE7" s="95"/>
      <c r="AF7" s="132">
        <f>IF(Q7, 1, 0)</f>
        <v>0</v>
      </c>
      <c r="AG7" s="121">
        <f>IF(AF7,7,IF(AF8,5,IF(AF9,3,IF(AF10,2,IF(AF11,0,0)))))</f>
        <v>0</v>
      </c>
      <c r="AH7" s="698">
        <f>SUM(AG7:AG22) * AM7</f>
        <v>0</v>
      </c>
      <c r="AJ7" s="114">
        <v>1</v>
      </c>
      <c r="AK7" s="114">
        <v>19</v>
      </c>
      <c r="AL7" s="114">
        <v>2</v>
      </c>
      <c r="AM7" s="206">
        <f>AL7/AK7</f>
        <v>0.10526315789473684</v>
      </c>
    </row>
    <row r="8" spans="2:39" ht="31.5" customHeight="1">
      <c r="B8" s="19"/>
      <c r="C8" s="966"/>
      <c r="D8" s="967"/>
      <c r="E8" s="967"/>
      <c r="F8" s="968"/>
      <c r="G8" s="20"/>
      <c r="H8" s="169"/>
      <c r="I8" s="19"/>
      <c r="J8" s="673"/>
      <c r="K8" s="612"/>
      <c r="L8" s="612"/>
      <c r="M8" s="612"/>
      <c r="N8" s="24"/>
      <c r="O8" s="943" t="s">
        <v>326</v>
      </c>
      <c r="P8" s="944"/>
      <c r="Q8" s="37" t="b">
        <v>0</v>
      </c>
      <c r="R8" s="22"/>
      <c r="S8" s="960"/>
      <c r="T8" s="960"/>
      <c r="U8" s="960"/>
      <c r="V8" s="960"/>
      <c r="W8" s="23"/>
      <c r="X8" s="169"/>
      <c r="Y8" s="19"/>
      <c r="Z8" s="662"/>
      <c r="AA8" s="663"/>
      <c r="AB8" s="663"/>
      <c r="AC8" s="664"/>
      <c r="AD8" s="20"/>
      <c r="AE8" s="95"/>
      <c r="AF8" s="123">
        <f t="shared" ref="AF8:AF11" si="0">IF(Q8, 1, 0)</f>
        <v>0</v>
      </c>
      <c r="AG8" s="122"/>
      <c r="AH8" s="699"/>
      <c r="AJ8" s="114">
        <v>2</v>
      </c>
      <c r="AK8" s="114">
        <v>7</v>
      </c>
      <c r="AL8" s="187">
        <v>1</v>
      </c>
      <c r="AM8" s="206">
        <f t="shared" ref="AM8:AM10" si="1">AL8/AK8</f>
        <v>0.14285714285714285</v>
      </c>
    </row>
    <row r="9" spans="2:39" ht="31.5" customHeight="1">
      <c r="B9" s="27"/>
      <c r="C9" s="966"/>
      <c r="D9" s="967"/>
      <c r="E9" s="967"/>
      <c r="F9" s="968"/>
      <c r="G9" s="23"/>
      <c r="H9" s="169"/>
      <c r="I9" s="19"/>
      <c r="J9" s="673"/>
      <c r="K9" s="612"/>
      <c r="L9" s="612"/>
      <c r="M9" s="612"/>
      <c r="N9" s="24"/>
      <c r="O9" s="943" t="s">
        <v>327</v>
      </c>
      <c r="P9" s="944"/>
      <c r="Q9" s="37" t="b">
        <v>0</v>
      </c>
      <c r="R9" s="22"/>
      <c r="S9" s="960"/>
      <c r="T9" s="960"/>
      <c r="U9" s="960"/>
      <c r="V9" s="960"/>
      <c r="W9" s="23"/>
      <c r="X9" s="169"/>
      <c r="Y9" s="27"/>
      <c r="Z9" s="662"/>
      <c r="AA9" s="663"/>
      <c r="AB9" s="663"/>
      <c r="AC9" s="664"/>
      <c r="AD9" s="23"/>
      <c r="AE9" s="100"/>
      <c r="AF9" s="123">
        <f t="shared" si="0"/>
        <v>0</v>
      </c>
      <c r="AG9" s="122"/>
      <c r="AH9" s="699"/>
      <c r="AJ9" s="114">
        <v>3</v>
      </c>
      <c r="AK9" s="114">
        <v>7</v>
      </c>
      <c r="AL9" s="114">
        <v>1</v>
      </c>
      <c r="AM9" s="206">
        <f t="shared" si="1"/>
        <v>0.14285714285714285</v>
      </c>
    </row>
    <row r="10" spans="2:39" ht="31.5" customHeight="1">
      <c r="B10" s="27"/>
      <c r="C10" s="966"/>
      <c r="D10" s="967"/>
      <c r="E10" s="967"/>
      <c r="F10" s="968"/>
      <c r="G10" s="23"/>
      <c r="H10" s="169"/>
      <c r="I10" s="19"/>
      <c r="J10" s="673"/>
      <c r="K10" s="612"/>
      <c r="L10" s="612"/>
      <c r="M10" s="612"/>
      <c r="N10" s="24"/>
      <c r="O10" s="943" t="s">
        <v>328</v>
      </c>
      <c r="P10" s="944"/>
      <c r="Q10" s="37" t="b">
        <v>0</v>
      </c>
      <c r="R10" s="22"/>
      <c r="S10" s="960"/>
      <c r="T10" s="960"/>
      <c r="U10" s="960"/>
      <c r="V10" s="960"/>
      <c r="W10" s="23"/>
      <c r="X10" s="169"/>
      <c r="Y10" s="27"/>
      <c r="Z10" s="662"/>
      <c r="AA10" s="663"/>
      <c r="AB10" s="663"/>
      <c r="AC10" s="664"/>
      <c r="AD10" s="23"/>
      <c r="AE10" s="100"/>
      <c r="AF10" s="123">
        <f t="shared" si="0"/>
        <v>0</v>
      </c>
      <c r="AG10" s="122"/>
      <c r="AH10" s="699"/>
      <c r="AJ10" s="114">
        <v>4</v>
      </c>
      <c r="AK10" s="114">
        <v>3</v>
      </c>
      <c r="AL10" s="114">
        <v>1</v>
      </c>
      <c r="AM10" s="206">
        <f t="shared" si="1"/>
        <v>0.33333333333333331</v>
      </c>
    </row>
    <row r="11" spans="2:39" ht="31.5" customHeight="1">
      <c r="B11" s="27"/>
      <c r="C11" s="966"/>
      <c r="D11" s="967"/>
      <c r="E11" s="967"/>
      <c r="F11" s="968"/>
      <c r="G11" s="23"/>
      <c r="H11" s="169"/>
      <c r="I11" s="19"/>
      <c r="J11" s="673"/>
      <c r="K11" s="612"/>
      <c r="L11" s="612"/>
      <c r="M11" s="612"/>
      <c r="N11" s="24"/>
      <c r="O11" s="943" t="s">
        <v>324</v>
      </c>
      <c r="P11" s="944"/>
      <c r="Q11" s="37" t="b">
        <v>0</v>
      </c>
      <c r="R11" s="22"/>
      <c r="S11" s="960"/>
      <c r="T11" s="960"/>
      <c r="U11" s="960"/>
      <c r="V11" s="960"/>
      <c r="W11" s="23"/>
      <c r="X11" s="169"/>
      <c r="Y11" s="27"/>
      <c r="Z11" s="665"/>
      <c r="AA11" s="666"/>
      <c r="AB11" s="666"/>
      <c r="AC11" s="667"/>
      <c r="AD11" s="23"/>
      <c r="AE11" s="100"/>
      <c r="AF11" s="123">
        <f t="shared" si="0"/>
        <v>0</v>
      </c>
      <c r="AG11" s="122"/>
      <c r="AH11" s="699"/>
      <c r="AJ11" s="264" t="s">
        <v>596</v>
      </c>
      <c r="AK11" s="264">
        <f>SUM(AK7:AK10)</f>
        <v>36</v>
      </c>
      <c r="AL11" s="264">
        <f>SUM(AL7:AL10)</f>
        <v>5</v>
      </c>
    </row>
    <row r="12" spans="2:39">
      <c r="B12" s="27"/>
      <c r="C12" s="966"/>
      <c r="D12" s="967"/>
      <c r="E12" s="967"/>
      <c r="F12" s="968"/>
      <c r="G12" s="23"/>
      <c r="H12" s="169"/>
      <c r="I12" s="9"/>
      <c r="J12" s="66"/>
      <c r="K12" s="226"/>
      <c r="L12" s="226"/>
      <c r="M12" s="226"/>
      <c r="N12" s="32"/>
      <c r="O12" s="214"/>
      <c r="P12" s="214"/>
      <c r="Q12" s="18"/>
      <c r="R12" s="10"/>
      <c r="S12" s="32"/>
      <c r="T12" s="32"/>
      <c r="U12" s="32"/>
      <c r="V12" s="32"/>
      <c r="W12" s="12"/>
      <c r="X12" s="169"/>
      <c r="Y12" s="27"/>
      <c r="Z12" s="33"/>
      <c r="AA12" s="33"/>
      <c r="AB12" s="33"/>
      <c r="AC12" s="33"/>
      <c r="AD12" s="23"/>
      <c r="AE12" s="100"/>
      <c r="AF12" s="123"/>
      <c r="AG12" s="122"/>
      <c r="AH12" s="699"/>
    </row>
    <row r="13" spans="2:39" ht="28.5" customHeight="1">
      <c r="B13" s="19"/>
      <c r="C13" s="966"/>
      <c r="D13" s="967"/>
      <c r="E13" s="967"/>
      <c r="F13" s="968"/>
      <c r="G13" s="20"/>
      <c r="H13" s="169"/>
      <c r="I13" s="9"/>
      <c r="J13" s="673">
        <v>1.2</v>
      </c>
      <c r="K13" s="612" t="s">
        <v>335</v>
      </c>
      <c r="L13" s="612"/>
      <c r="M13" s="612"/>
      <c r="N13" s="24"/>
      <c r="O13" s="610" t="s">
        <v>329</v>
      </c>
      <c r="P13" s="610"/>
      <c r="Q13" s="37" t="b">
        <v>0</v>
      </c>
      <c r="R13" s="22"/>
      <c r="S13" s="960" t="s">
        <v>80</v>
      </c>
      <c r="T13" s="960"/>
      <c r="U13" s="960"/>
      <c r="V13" s="960"/>
      <c r="W13" s="23"/>
      <c r="X13" s="169"/>
      <c r="Y13" s="19"/>
      <c r="Z13" s="610" t="str">
        <f>IF(AF18,Feedback_List!B82," ")</f>
        <v xml:space="preserve"> </v>
      </c>
      <c r="AA13" s="610"/>
      <c r="AB13" s="610"/>
      <c r="AC13" s="610"/>
      <c r="AD13" s="20"/>
      <c r="AE13" s="95"/>
      <c r="AF13" s="123">
        <f>IF(Q13, 1, 0)</f>
        <v>0</v>
      </c>
      <c r="AG13" s="122">
        <f>IF(AF13,7,IF(AF14,5,IF(AF15,3,IF(AF16,2,IF(AF17,1,IF(AF18,0,0))))))</f>
        <v>0</v>
      </c>
      <c r="AH13" s="699"/>
    </row>
    <row r="14" spans="2:39" ht="28.5" customHeight="1">
      <c r="B14" s="19"/>
      <c r="C14" s="966"/>
      <c r="D14" s="967"/>
      <c r="E14" s="967"/>
      <c r="F14" s="968"/>
      <c r="G14" s="20"/>
      <c r="H14" s="169"/>
      <c r="I14" s="9"/>
      <c r="J14" s="673"/>
      <c r="K14" s="612"/>
      <c r="L14" s="612"/>
      <c r="M14" s="612"/>
      <c r="N14" s="24"/>
      <c r="O14" s="610" t="s">
        <v>330</v>
      </c>
      <c r="P14" s="610"/>
      <c r="Q14" s="37" t="b">
        <v>0</v>
      </c>
      <c r="R14" s="22"/>
      <c r="S14" s="960"/>
      <c r="T14" s="960"/>
      <c r="U14" s="960"/>
      <c r="V14" s="960"/>
      <c r="W14" s="23"/>
      <c r="X14" s="169"/>
      <c r="Y14" s="19"/>
      <c r="Z14" s="610"/>
      <c r="AA14" s="610"/>
      <c r="AB14" s="610"/>
      <c r="AC14" s="610"/>
      <c r="AD14" s="20"/>
      <c r="AE14" s="95"/>
      <c r="AF14" s="123">
        <f t="shared" ref="AF14:AF22" si="2">IF(Q14, 1, 0)</f>
        <v>0</v>
      </c>
      <c r="AG14" s="122"/>
      <c r="AH14" s="699"/>
    </row>
    <row r="15" spans="2:39" ht="28.5" customHeight="1">
      <c r="B15" s="27"/>
      <c r="C15" s="966"/>
      <c r="D15" s="967"/>
      <c r="E15" s="967"/>
      <c r="F15" s="968"/>
      <c r="G15" s="23"/>
      <c r="H15" s="169"/>
      <c r="I15" s="9"/>
      <c r="J15" s="673"/>
      <c r="K15" s="612"/>
      <c r="L15" s="612"/>
      <c r="M15" s="612"/>
      <c r="N15" s="24"/>
      <c r="O15" s="610" t="s">
        <v>331</v>
      </c>
      <c r="P15" s="610"/>
      <c r="Q15" s="37" t="b">
        <v>0</v>
      </c>
      <c r="R15" s="22"/>
      <c r="S15" s="960"/>
      <c r="T15" s="960"/>
      <c r="U15" s="960"/>
      <c r="V15" s="960"/>
      <c r="W15" s="23"/>
      <c r="X15" s="169"/>
      <c r="Y15" s="27"/>
      <c r="Z15" s="610"/>
      <c r="AA15" s="610"/>
      <c r="AB15" s="610"/>
      <c r="AC15" s="610"/>
      <c r="AD15" s="23"/>
      <c r="AE15" s="100"/>
      <c r="AF15" s="123">
        <f t="shared" si="2"/>
        <v>0</v>
      </c>
      <c r="AG15" s="122"/>
      <c r="AH15" s="699"/>
    </row>
    <row r="16" spans="2:39" ht="28.5" customHeight="1">
      <c r="B16" s="27"/>
      <c r="C16" s="966"/>
      <c r="D16" s="967"/>
      <c r="E16" s="967"/>
      <c r="F16" s="968"/>
      <c r="G16" s="23"/>
      <c r="H16" s="169"/>
      <c r="I16" s="9"/>
      <c r="J16" s="673"/>
      <c r="K16" s="612"/>
      <c r="L16" s="612"/>
      <c r="M16" s="612"/>
      <c r="N16" s="24"/>
      <c r="O16" s="610" t="s">
        <v>332</v>
      </c>
      <c r="P16" s="610"/>
      <c r="Q16" s="37" t="b">
        <v>0</v>
      </c>
      <c r="R16" s="22"/>
      <c r="S16" s="960"/>
      <c r="T16" s="960"/>
      <c r="U16" s="960"/>
      <c r="V16" s="960"/>
      <c r="W16" s="23"/>
      <c r="X16" s="169"/>
      <c r="Y16" s="27"/>
      <c r="Z16" s="610"/>
      <c r="AA16" s="610"/>
      <c r="AB16" s="610"/>
      <c r="AC16" s="610"/>
      <c r="AD16" s="23"/>
      <c r="AE16" s="100"/>
      <c r="AF16" s="123">
        <f t="shared" si="2"/>
        <v>0</v>
      </c>
      <c r="AG16" s="122"/>
      <c r="AH16" s="699"/>
    </row>
    <row r="17" spans="2:34" ht="28.5" customHeight="1">
      <c r="B17" s="27"/>
      <c r="C17" s="966"/>
      <c r="D17" s="967"/>
      <c r="E17" s="967"/>
      <c r="F17" s="968"/>
      <c r="G17" s="23"/>
      <c r="H17" s="169"/>
      <c r="I17" s="9"/>
      <c r="J17" s="673"/>
      <c r="K17" s="612"/>
      <c r="L17" s="612"/>
      <c r="M17" s="612"/>
      <c r="N17" s="24"/>
      <c r="O17" s="610" t="s">
        <v>333</v>
      </c>
      <c r="P17" s="610"/>
      <c r="Q17" s="37" t="b">
        <v>0</v>
      </c>
      <c r="R17" s="22"/>
      <c r="S17" s="960"/>
      <c r="T17" s="960"/>
      <c r="U17" s="960"/>
      <c r="V17" s="960"/>
      <c r="W17" s="23"/>
      <c r="X17" s="169"/>
      <c r="Y17" s="27"/>
      <c r="Z17" s="610"/>
      <c r="AA17" s="610"/>
      <c r="AB17" s="610"/>
      <c r="AC17" s="610"/>
      <c r="AD17" s="23"/>
      <c r="AE17" s="100"/>
      <c r="AF17" s="123">
        <f t="shared" si="2"/>
        <v>0</v>
      </c>
      <c r="AG17" s="122"/>
      <c r="AH17" s="699"/>
    </row>
    <row r="18" spans="2:34" ht="28.5" customHeight="1">
      <c r="B18" s="9"/>
      <c r="C18" s="966"/>
      <c r="D18" s="967"/>
      <c r="E18" s="967"/>
      <c r="F18" s="968"/>
      <c r="G18" s="12"/>
      <c r="H18" s="173"/>
      <c r="I18" s="9"/>
      <c r="J18" s="673"/>
      <c r="K18" s="612"/>
      <c r="L18" s="612"/>
      <c r="M18" s="612"/>
      <c r="N18" s="10"/>
      <c r="O18" s="786" t="s">
        <v>324</v>
      </c>
      <c r="P18" s="786"/>
      <c r="Q18" s="37" t="b">
        <v>0</v>
      </c>
      <c r="R18" s="10"/>
      <c r="S18" s="960"/>
      <c r="T18" s="960"/>
      <c r="U18" s="960"/>
      <c r="V18" s="960"/>
      <c r="W18" s="12"/>
      <c r="X18" s="173"/>
      <c r="Y18" s="9"/>
      <c r="Z18" s="610"/>
      <c r="AA18" s="610"/>
      <c r="AB18" s="610"/>
      <c r="AC18" s="610"/>
      <c r="AD18" s="12"/>
      <c r="AF18" s="123">
        <f t="shared" si="2"/>
        <v>0</v>
      </c>
      <c r="AG18" s="146"/>
      <c r="AH18" s="699"/>
    </row>
    <row r="19" spans="2:34">
      <c r="B19" s="9"/>
      <c r="C19" s="966"/>
      <c r="D19" s="967"/>
      <c r="E19" s="967"/>
      <c r="F19" s="968"/>
      <c r="G19" s="12"/>
      <c r="H19" s="173"/>
      <c r="I19" s="9"/>
      <c r="J19" s="65"/>
      <c r="K19" s="232"/>
      <c r="L19" s="232"/>
      <c r="M19" s="232"/>
      <c r="N19" s="10"/>
      <c r="O19" s="214"/>
      <c r="P19" s="214"/>
      <c r="Q19" s="18"/>
      <c r="R19" s="10"/>
      <c r="S19" s="10"/>
      <c r="T19" s="10"/>
      <c r="U19" s="10"/>
      <c r="V19" s="10"/>
      <c r="W19" s="12"/>
      <c r="X19" s="173"/>
      <c r="Y19" s="9"/>
      <c r="Z19" s="10"/>
      <c r="AA19" s="10"/>
      <c r="AB19" s="10"/>
      <c r="AC19" s="10"/>
      <c r="AD19" s="12"/>
      <c r="AF19" s="147"/>
      <c r="AG19" s="146"/>
      <c r="AH19" s="699"/>
    </row>
    <row r="20" spans="2:34" ht="24" customHeight="1">
      <c r="B20" s="9"/>
      <c r="C20" s="966"/>
      <c r="D20" s="967"/>
      <c r="E20" s="967"/>
      <c r="F20" s="968"/>
      <c r="G20" s="12"/>
      <c r="H20" s="173"/>
      <c r="I20" s="9"/>
      <c r="J20" s="768">
        <v>1.3</v>
      </c>
      <c r="K20" s="793" t="s">
        <v>336</v>
      </c>
      <c r="L20" s="794"/>
      <c r="M20" s="795"/>
      <c r="N20" s="10"/>
      <c r="O20" s="587" t="s">
        <v>489</v>
      </c>
      <c r="P20" s="589"/>
      <c r="Q20" s="961" t="b">
        <v>0</v>
      </c>
      <c r="R20" s="10"/>
      <c r="S20" s="773" t="s">
        <v>80</v>
      </c>
      <c r="T20" s="774"/>
      <c r="U20" s="774"/>
      <c r="V20" s="775"/>
      <c r="W20" s="12"/>
      <c r="X20" s="173"/>
      <c r="Y20" s="9"/>
      <c r="Z20" s="587" t="str">
        <f>IF(AF22,Feedback_List!B83, " ")</f>
        <v xml:space="preserve"> </v>
      </c>
      <c r="AA20" s="588"/>
      <c r="AB20" s="588"/>
      <c r="AC20" s="589"/>
      <c r="AD20" s="12"/>
      <c r="AF20" s="123">
        <f t="shared" si="2"/>
        <v>0</v>
      </c>
      <c r="AG20" s="146">
        <f>IF(AF20,5,IF(AF22,0,0))</f>
        <v>0</v>
      </c>
      <c r="AH20" s="699"/>
    </row>
    <row r="21" spans="2:34" ht="24" customHeight="1">
      <c r="B21" s="9"/>
      <c r="C21" s="966"/>
      <c r="D21" s="967"/>
      <c r="E21" s="967"/>
      <c r="F21" s="968"/>
      <c r="G21" s="12"/>
      <c r="H21" s="173"/>
      <c r="I21" s="9"/>
      <c r="J21" s="769"/>
      <c r="K21" s="796"/>
      <c r="L21" s="797"/>
      <c r="M21" s="798"/>
      <c r="N21" s="10"/>
      <c r="O21" s="593"/>
      <c r="P21" s="595"/>
      <c r="Q21" s="962"/>
      <c r="R21" s="10"/>
      <c r="S21" s="776"/>
      <c r="T21" s="777"/>
      <c r="U21" s="777"/>
      <c r="V21" s="778"/>
      <c r="W21" s="12"/>
      <c r="X21" s="173"/>
      <c r="Y21" s="9"/>
      <c r="Z21" s="590"/>
      <c r="AA21" s="591"/>
      <c r="AB21" s="591"/>
      <c r="AC21" s="592"/>
      <c r="AD21" s="12"/>
      <c r="AF21" s="123"/>
      <c r="AG21" s="146"/>
      <c r="AH21" s="699"/>
    </row>
    <row r="22" spans="2:34" ht="24" customHeight="1">
      <c r="B22" s="9"/>
      <c r="C22" s="966"/>
      <c r="D22" s="967"/>
      <c r="E22" s="967"/>
      <c r="F22" s="968"/>
      <c r="G22" s="12"/>
      <c r="H22" s="173"/>
      <c r="I22" s="9"/>
      <c r="J22" s="769"/>
      <c r="K22" s="796"/>
      <c r="L22" s="797"/>
      <c r="M22" s="798"/>
      <c r="N22" s="10"/>
      <c r="O22" s="587" t="s">
        <v>71</v>
      </c>
      <c r="P22" s="589"/>
      <c r="Q22" s="961" t="b">
        <v>0</v>
      </c>
      <c r="R22" s="10"/>
      <c r="S22" s="776"/>
      <c r="T22" s="777"/>
      <c r="U22" s="777"/>
      <c r="V22" s="778"/>
      <c r="W22" s="12"/>
      <c r="X22" s="173"/>
      <c r="Y22" s="9"/>
      <c r="Z22" s="590"/>
      <c r="AA22" s="591"/>
      <c r="AB22" s="591"/>
      <c r="AC22" s="592"/>
      <c r="AD22" s="12"/>
      <c r="AF22" s="110">
        <f t="shared" si="2"/>
        <v>0</v>
      </c>
      <c r="AG22" s="148"/>
      <c r="AH22" s="700"/>
    </row>
    <row r="23" spans="2:34" ht="24" customHeight="1" thickBot="1">
      <c r="B23" s="9"/>
      <c r="C23" s="969"/>
      <c r="D23" s="970"/>
      <c r="E23" s="970"/>
      <c r="F23" s="971"/>
      <c r="G23" s="12"/>
      <c r="H23" s="173"/>
      <c r="I23" s="9"/>
      <c r="J23" s="770"/>
      <c r="K23" s="799"/>
      <c r="L23" s="800"/>
      <c r="M23" s="801"/>
      <c r="N23" s="10"/>
      <c r="O23" s="593"/>
      <c r="P23" s="595"/>
      <c r="Q23" s="962"/>
      <c r="R23" s="10"/>
      <c r="S23" s="779"/>
      <c r="T23" s="780"/>
      <c r="U23" s="780"/>
      <c r="V23" s="781"/>
      <c r="W23" s="12"/>
      <c r="X23" s="173"/>
      <c r="Y23" s="9"/>
      <c r="Z23" s="593"/>
      <c r="AA23" s="594"/>
      <c r="AB23" s="594"/>
      <c r="AC23" s="595"/>
      <c r="AD23" s="12"/>
      <c r="AF23" s="141">
        <f>SUM(AF7:AF22)</f>
        <v>0</v>
      </c>
      <c r="AG23" s="141">
        <f>SUM(AG7:AG22)</f>
        <v>0</v>
      </c>
      <c r="AH23" s="141"/>
    </row>
    <row r="24" spans="2:34" ht="19" thickTop="1">
      <c r="B24" s="9"/>
      <c r="C24" s="216"/>
      <c r="D24" s="33"/>
      <c r="E24" s="216"/>
      <c r="F24" s="33"/>
      <c r="G24" s="12"/>
      <c r="H24" s="173"/>
      <c r="I24" s="9"/>
      <c r="J24" s="65"/>
      <c r="K24" s="232"/>
      <c r="L24" s="232"/>
      <c r="M24" s="232"/>
      <c r="N24" s="10"/>
      <c r="O24" s="214"/>
      <c r="P24" s="214"/>
      <c r="Q24" s="18"/>
      <c r="R24" s="10"/>
      <c r="S24" s="10"/>
      <c r="T24" s="10"/>
      <c r="U24" s="10"/>
      <c r="V24" s="10"/>
      <c r="W24" s="12"/>
      <c r="X24" s="173"/>
      <c r="Y24" s="9"/>
      <c r="Z24" s="10"/>
      <c r="AA24" s="10"/>
      <c r="AB24" s="10"/>
      <c r="AC24" s="10"/>
      <c r="AD24" s="12"/>
    </row>
    <row r="25" spans="2:34">
      <c r="B25" s="9"/>
      <c r="C25" s="945"/>
      <c r="D25" s="946"/>
      <c r="E25" s="946"/>
      <c r="F25" s="947"/>
      <c r="G25" s="12"/>
      <c r="H25" s="173"/>
      <c r="I25" s="9"/>
      <c r="J25" s="28" t="s">
        <v>26</v>
      </c>
      <c r="K25" s="225" t="s">
        <v>337</v>
      </c>
      <c r="L25" s="232"/>
      <c r="M25" s="232"/>
      <c r="N25" s="10"/>
      <c r="O25" s="214"/>
      <c r="P25" s="214"/>
      <c r="Q25" s="18"/>
      <c r="R25" s="10"/>
      <c r="S25" s="10"/>
      <c r="T25" s="10"/>
      <c r="U25" s="10"/>
      <c r="V25" s="10"/>
      <c r="W25" s="12"/>
      <c r="X25" s="173"/>
      <c r="Y25" s="9"/>
      <c r="Z25" s="10"/>
      <c r="AA25" s="10"/>
      <c r="AB25" s="10"/>
      <c r="AC25" s="10"/>
      <c r="AD25" s="12"/>
    </row>
    <row r="26" spans="2:34" ht="26" customHeight="1">
      <c r="B26" s="9"/>
      <c r="C26" s="948"/>
      <c r="D26" s="949"/>
      <c r="E26" s="949"/>
      <c r="F26" s="950"/>
      <c r="G26" s="12"/>
      <c r="H26" s="173"/>
      <c r="I26" s="9"/>
      <c r="J26" s="65"/>
      <c r="K26" s="232"/>
      <c r="L26" s="232"/>
      <c r="M26" s="232"/>
      <c r="N26" s="10"/>
      <c r="O26" s="214"/>
      <c r="P26" s="214"/>
      <c r="Q26" s="18"/>
      <c r="R26" s="10"/>
      <c r="S26" s="10"/>
      <c r="T26" s="10"/>
      <c r="U26" s="10"/>
      <c r="V26" s="10"/>
      <c r="W26" s="12"/>
      <c r="X26" s="173"/>
      <c r="Y26" s="9"/>
      <c r="Z26" s="10"/>
      <c r="AA26" s="10"/>
      <c r="AB26" s="10"/>
      <c r="AC26" s="10"/>
      <c r="AD26" s="12"/>
    </row>
    <row r="27" spans="2:34" ht="33" customHeight="1">
      <c r="B27" s="19"/>
      <c r="C27" s="948"/>
      <c r="D27" s="949"/>
      <c r="E27" s="949"/>
      <c r="F27" s="950"/>
      <c r="G27" s="20"/>
      <c r="H27" s="169"/>
      <c r="I27" s="9"/>
      <c r="J27" s="673">
        <v>2.1</v>
      </c>
      <c r="K27" s="859" t="s">
        <v>349</v>
      </c>
      <c r="L27" s="859"/>
      <c r="M27" s="859"/>
      <c r="N27" s="24"/>
      <c r="O27" s="943" t="s">
        <v>338</v>
      </c>
      <c r="P27" s="944"/>
      <c r="Q27" s="37" t="b">
        <v>0</v>
      </c>
      <c r="R27" s="22"/>
      <c r="S27" s="720" t="s">
        <v>80</v>
      </c>
      <c r="T27" s="720"/>
      <c r="U27" s="720"/>
      <c r="V27" s="720"/>
      <c r="W27" s="23"/>
      <c r="X27" s="169"/>
      <c r="Y27" s="19"/>
      <c r="Z27" s="674" t="str">
        <f>IF(AF30,Feedback_List!B85," ")</f>
        <v xml:space="preserve"> </v>
      </c>
      <c r="AA27" s="675"/>
      <c r="AB27" s="675"/>
      <c r="AC27" s="676"/>
      <c r="AD27" s="20"/>
      <c r="AE27" s="95"/>
      <c r="AF27" s="132">
        <f>IF(Q27, 1, 0)</f>
        <v>0</v>
      </c>
      <c r="AG27" s="121">
        <f>IF(AF27,7,IF(AF28,5,IF(AF29,2,IF(AF30,0,0))))</f>
        <v>0</v>
      </c>
      <c r="AH27" s="698">
        <f>SUM(AG27:AG30) * AM8</f>
        <v>0</v>
      </c>
    </row>
    <row r="28" spans="2:34" ht="33" customHeight="1">
      <c r="B28" s="19"/>
      <c r="C28" s="948"/>
      <c r="D28" s="949"/>
      <c r="E28" s="949"/>
      <c r="F28" s="950"/>
      <c r="G28" s="20"/>
      <c r="H28" s="169"/>
      <c r="I28" s="9"/>
      <c r="J28" s="673"/>
      <c r="K28" s="859"/>
      <c r="L28" s="859"/>
      <c r="M28" s="859"/>
      <c r="N28" s="24"/>
      <c r="O28" s="943" t="s">
        <v>339</v>
      </c>
      <c r="P28" s="944"/>
      <c r="Q28" s="37" t="b">
        <v>0</v>
      </c>
      <c r="R28" s="22"/>
      <c r="S28" s="720"/>
      <c r="T28" s="720"/>
      <c r="U28" s="720"/>
      <c r="V28" s="720"/>
      <c r="W28" s="23"/>
      <c r="X28" s="169"/>
      <c r="Y28" s="19"/>
      <c r="Z28" s="662"/>
      <c r="AA28" s="663"/>
      <c r="AB28" s="663"/>
      <c r="AC28" s="664"/>
      <c r="AD28" s="20"/>
      <c r="AE28" s="95"/>
      <c r="AF28" s="123">
        <f t="shared" ref="AF28:AF30" si="3">IF(Q28, 1, 0)</f>
        <v>0</v>
      </c>
      <c r="AG28" s="122"/>
      <c r="AH28" s="699"/>
    </row>
    <row r="29" spans="2:34" ht="33" customHeight="1">
      <c r="B29" s="27"/>
      <c r="C29" s="948"/>
      <c r="D29" s="949"/>
      <c r="E29" s="949"/>
      <c r="F29" s="950"/>
      <c r="G29" s="23"/>
      <c r="H29" s="169"/>
      <c r="I29" s="9"/>
      <c r="J29" s="673"/>
      <c r="K29" s="859"/>
      <c r="L29" s="859"/>
      <c r="M29" s="859"/>
      <c r="N29" s="24"/>
      <c r="O29" s="943" t="s">
        <v>1053</v>
      </c>
      <c r="P29" s="944"/>
      <c r="Q29" s="37" t="b">
        <v>0</v>
      </c>
      <c r="R29" s="22"/>
      <c r="S29" s="720"/>
      <c r="T29" s="720"/>
      <c r="U29" s="720"/>
      <c r="V29" s="720"/>
      <c r="W29" s="23"/>
      <c r="X29" s="169"/>
      <c r="Y29" s="27"/>
      <c r="Z29" s="662"/>
      <c r="AA29" s="663"/>
      <c r="AB29" s="663"/>
      <c r="AC29" s="664"/>
      <c r="AD29" s="23"/>
      <c r="AE29" s="100"/>
      <c r="AF29" s="123">
        <f t="shared" si="3"/>
        <v>0</v>
      </c>
      <c r="AG29" s="122"/>
      <c r="AH29" s="699"/>
    </row>
    <row r="30" spans="2:34" ht="33" customHeight="1">
      <c r="B30" s="27"/>
      <c r="C30" s="951"/>
      <c r="D30" s="952"/>
      <c r="E30" s="952"/>
      <c r="F30" s="953"/>
      <c r="G30" s="23"/>
      <c r="H30" s="169"/>
      <c r="I30" s="9"/>
      <c r="J30" s="673"/>
      <c r="K30" s="859"/>
      <c r="L30" s="859"/>
      <c r="M30" s="859"/>
      <c r="N30" s="24"/>
      <c r="O30" s="943" t="s">
        <v>340</v>
      </c>
      <c r="P30" s="944"/>
      <c r="Q30" s="37" t="b">
        <v>0</v>
      </c>
      <c r="R30" s="22"/>
      <c r="S30" s="720"/>
      <c r="T30" s="720"/>
      <c r="U30" s="720"/>
      <c r="V30" s="720"/>
      <c r="W30" s="23"/>
      <c r="X30" s="169"/>
      <c r="Y30" s="27"/>
      <c r="Z30" s="665"/>
      <c r="AA30" s="666"/>
      <c r="AB30" s="666"/>
      <c r="AC30" s="667"/>
      <c r="AD30" s="23"/>
      <c r="AE30" s="100"/>
      <c r="AF30" s="110">
        <f t="shared" si="3"/>
        <v>0</v>
      </c>
      <c r="AG30" s="111"/>
      <c r="AH30" s="700"/>
    </row>
    <row r="31" spans="2:34" ht="19" thickBot="1">
      <c r="B31" s="9"/>
      <c r="C31" s="10"/>
      <c r="D31" s="10"/>
      <c r="E31" s="10"/>
      <c r="F31" s="10"/>
      <c r="G31" s="12"/>
      <c r="H31" s="173"/>
      <c r="I31" s="9"/>
      <c r="J31" s="65"/>
      <c r="K31" s="232"/>
      <c r="L31" s="232"/>
      <c r="M31" s="232"/>
      <c r="N31" s="10"/>
      <c r="O31" s="214"/>
      <c r="P31" s="214"/>
      <c r="Q31" s="18"/>
      <c r="R31" s="10"/>
      <c r="S31" s="10"/>
      <c r="T31" s="10"/>
      <c r="U31" s="10"/>
      <c r="V31" s="10"/>
      <c r="W31" s="12"/>
      <c r="X31" s="173"/>
      <c r="Y31" s="9"/>
      <c r="Z31" s="10"/>
      <c r="AA31" s="10"/>
      <c r="AB31" s="10"/>
      <c r="AC31" s="10"/>
      <c r="AD31" s="12"/>
      <c r="AF31" s="141">
        <f>SUM(AF27:AF30)</f>
        <v>0</v>
      </c>
      <c r="AG31" s="141">
        <f>SUM(AG27:AG30)</f>
        <v>0</v>
      </c>
      <c r="AH31" s="141"/>
    </row>
    <row r="32" spans="2:34" ht="19" thickTop="1">
      <c r="B32" s="9"/>
      <c r="C32" s="945"/>
      <c r="D32" s="946"/>
      <c r="E32" s="946"/>
      <c r="F32" s="947"/>
      <c r="G32" s="12"/>
      <c r="H32" s="173"/>
      <c r="I32" s="9"/>
      <c r="J32" s="28" t="s">
        <v>39</v>
      </c>
      <c r="K32" s="225" t="s">
        <v>341</v>
      </c>
      <c r="L32" s="232"/>
      <c r="M32" s="232"/>
      <c r="N32" s="10"/>
      <c r="O32" s="214"/>
      <c r="P32" s="214"/>
      <c r="Q32" s="18"/>
      <c r="R32" s="10"/>
      <c r="S32" s="10"/>
      <c r="T32" s="10"/>
      <c r="U32" s="10"/>
      <c r="V32" s="10"/>
      <c r="W32" s="12"/>
      <c r="X32" s="173"/>
      <c r="Y32" s="9"/>
      <c r="Z32" s="10"/>
      <c r="AA32" s="10"/>
      <c r="AB32" s="10"/>
      <c r="AC32" s="10"/>
      <c r="AD32" s="12"/>
    </row>
    <row r="33" spans="2:34">
      <c r="B33" s="9"/>
      <c r="C33" s="948"/>
      <c r="D33" s="949"/>
      <c r="E33" s="949"/>
      <c r="F33" s="950"/>
      <c r="G33" s="12"/>
      <c r="H33" s="173"/>
      <c r="I33" s="9"/>
      <c r="J33" s="65"/>
      <c r="K33" s="232"/>
      <c r="L33" s="232"/>
      <c r="M33" s="232"/>
      <c r="N33" s="10"/>
      <c r="O33" s="214"/>
      <c r="P33" s="214"/>
      <c r="Q33" s="18"/>
      <c r="R33" s="10"/>
      <c r="S33" s="10"/>
      <c r="T33" s="10"/>
      <c r="U33" s="10"/>
      <c r="V33" s="10"/>
      <c r="W33" s="12"/>
      <c r="X33" s="173"/>
      <c r="Y33" s="9"/>
      <c r="Z33" s="10"/>
      <c r="AA33" s="10"/>
      <c r="AB33" s="10"/>
      <c r="AC33" s="10"/>
      <c r="AD33" s="12"/>
    </row>
    <row r="34" spans="2:34" ht="31.5" customHeight="1">
      <c r="B34" s="19"/>
      <c r="C34" s="948"/>
      <c r="D34" s="949"/>
      <c r="E34" s="949"/>
      <c r="F34" s="950"/>
      <c r="G34" s="20"/>
      <c r="H34" s="169"/>
      <c r="I34" s="9"/>
      <c r="J34" s="673">
        <v>3.1</v>
      </c>
      <c r="K34" s="612" t="s">
        <v>348</v>
      </c>
      <c r="L34" s="612"/>
      <c r="M34" s="612"/>
      <c r="N34" s="24"/>
      <c r="O34" s="943" t="s">
        <v>342</v>
      </c>
      <c r="P34" s="944"/>
      <c r="Q34" s="37" t="b">
        <v>0</v>
      </c>
      <c r="R34" s="22"/>
      <c r="S34" s="960" t="s">
        <v>80</v>
      </c>
      <c r="T34" s="960"/>
      <c r="U34" s="960"/>
      <c r="V34" s="960"/>
      <c r="W34" s="23"/>
      <c r="X34" s="169"/>
      <c r="Y34" s="19"/>
      <c r="Z34" s="659" t="str">
        <f>IF(AF38,Feedback_List!B87," ")</f>
        <v xml:space="preserve"> </v>
      </c>
      <c r="AA34" s="660"/>
      <c r="AB34" s="660"/>
      <c r="AC34" s="661"/>
      <c r="AD34" s="20"/>
      <c r="AE34" s="95"/>
      <c r="AF34" s="132">
        <f>IF(Q34, 1, 0)</f>
        <v>0</v>
      </c>
      <c r="AG34" s="121">
        <f>IF(AF34,7,IF(AF35,5,IF(AF36,3,IF(AF37,2,IF(AF38,0,0)))))</f>
        <v>0</v>
      </c>
      <c r="AH34" s="698">
        <f>SUM(AG34:AG38) * AM9</f>
        <v>0</v>
      </c>
    </row>
    <row r="35" spans="2:34" ht="16">
      <c r="B35" s="19"/>
      <c r="C35" s="948"/>
      <c r="D35" s="949"/>
      <c r="E35" s="949"/>
      <c r="F35" s="950"/>
      <c r="G35" s="20"/>
      <c r="H35" s="169"/>
      <c r="I35" s="9"/>
      <c r="J35" s="673"/>
      <c r="K35" s="612"/>
      <c r="L35" s="612"/>
      <c r="M35" s="612"/>
      <c r="N35" s="24"/>
      <c r="O35" s="943" t="s">
        <v>343</v>
      </c>
      <c r="P35" s="944"/>
      <c r="Q35" s="37" t="b">
        <v>0</v>
      </c>
      <c r="R35" s="22"/>
      <c r="S35" s="960"/>
      <c r="T35" s="960"/>
      <c r="U35" s="960"/>
      <c r="V35" s="960"/>
      <c r="W35" s="23"/>
      <c r="X35" s="169"/>
      <c r="Y35" s="19"/>
      <c r="Z35" s="662"/>
      <c r="AA35" s="663"/>
      <c r="AB35" s="663"/>
      <c r="AC35" s="664"/>
      <c r="AD35" s="20"/>
      <c r="AE35" s="95"/>
      <c r="AF35" s="123">
        <f t="shared" ref="AF35:AF38" si="4">IF(Q35, 1, 0)</f>
        <v>0</v>
      </c>
      <c r="AG35" s="122"/>
      <c r="AH35" s="699"/>
    </row>
    <row r="36" spans="2:34" ht="16">
      <c r="B36" s="27"/>
      <c r="C36" s="948"/>
      <c r="D36" s="949"/>
      <c r="E36" s="949"/>
      <c r="F36" s="950"/>
      <c r="G36" s="23"/>
      <c r="H36" s="169"/>
      <c r="I36" s="9"/>
      <c r="J36" s="673"/>
      <c r="K36" s="612"/>
      <c r="L36" s="612"/>
      <c r="M36" s="612"/>
      <c r="N36" s="24"/>
      <c r="O36" s="943" t="s">
        <v>346</v>
      </c>
      <c r="P36" s="944"/>
      <c r="Q36" s="37" t="b">
        <v>0</v>
      </c>
      <c r="R36" s="22"/>
      <c r="S36" s="960"/>
      <c r="T36" s="960"/>
      <c r="U36" s="960"/>
      <c r="V36" s="960"/>
      <c r="W36" s="23"/>
      <c r="X36" s="169"/>
      <c r="Y36" s="27"/>
      <c r="Z36" s="662"/>
      <c r="AA36" s="663"/>
      <c r="AB36" s="663"/>
      <c r="AC36" s="664"/>
      <c r="AD36" s="23"/>
      <c r="AE36" s="100"/>
      <c r="AF36" s="123">
        <f t="shared" si="4"/>
        <v>0</v>
      </c>
      <c r="AG36" s="122"/>
      <c r="AH36" s="699"/>
    </row>
    <row r="37" spans="2:34" ht="16">
      <c r="B37" s="27"/>
      <c r="C37" s="948"/>
      <c r="D37" s="949"/>
      <c r="E37" s="949"/>
      <c r="F37" s="950"/>
      <c r="G37" s="23"/>
      <c r="H37" s="169"/>
      <c r="I37" s="9"/>
      <c r="J37" s="673"/>
      <c r="K37" s="612"/>
      <c r="L37" s="612"/>
      <c r="M37" s="612"/>
      <c r="N37" s="24"/>
      <c r="O37" s="943" t="s">
        <v>344</v>
      </c>
      <c r="P37" s="944"/>
      <c r="Q37" s="37" t="b">
        <v>0</v>
      </c>
      <c r="R37" s="22"/>
      <c r="S37" s="960"/>
      <c r="T37" s="960"/>
      <c r="U37" s="960"/>
      <c r="V37" s="960"/>
      <c r="W37" s="23"/>
      <c r="X37" s="169"/>
      <c r="Y37" s="27"/>
      <c r="Z37" s="662"/>
      <c r="AA37" s="663"/>
      <c r="AB37" s="663"/>
      <c r="AC37" s="664"/>
      <c r="AD37" s="23"/>
      <c r="AE37" s="100"/>
      <c r="AF37" s="123">
        <f t="shared" si="4"/>
        <v>0</v>
      </c>
      <c r="AG37" s="122"/>
      <c r="AH37" s="699"/>
    </row>
    <row r="38" spans="2:34" ht="16">
      <c r="B38" s="27"/>
      <c r="C38" s="951"/>
      <c r="D38" s="952"/>
      <c r="E38" s="952"/>
      <c r="F38" s="953"/>
      <c r="G38" s="23"/>
      <c r="H38" s="169"/>
      <c r="I38" s="9"/>
      <c r="J38" s="673"/>
      <c r="K38" s="612"/>
      <c r="L38" s="612"/>
      <c r="M38" s="612"/>
      <c r="N38" s="24"/>
      <c r="O38" s="943" t="s">
        <v>345</v>
      </c>
      <c r="P38" s="944"/>
      <c r="Q38" s="37" t="b">
        <v>0</v>
      </c>
      <c r="R38" s="22"/>
      <c r="S38" s="960"/>
      <c r="T38" s="960"/>
      <c r="U38" s="960"/>
      <c r="V38" s="960"/>
      <c r="W38" s="23"/>
      <c r="X38" s="169"/>
      <c r="Y38" s="27"/>
      <c r="Z38" s="665"/>
      <c r="AA38" s="666"/>
      <c r="AB38" s="666"/>
      <c r="AC38" s="667"/>
      <c r="AD38" s="23"/>
      <c r="AE38" s="100"/>
      <c r="AF38" s="110">
        <f t="shared" si="4"/>
        <v>0</v>
      </c>
      <c r="AG38" s="111"/>
      <c r="AH38" s="700"/>
    </row>
    <row r="39" spans="2:34" ht="19" thickBot="1">
      <c r="B39" s="9"/>
      <c r="C39" s="10"/>
      <c r="D39" s="10"/>
      <c r="E39" s="10"/>
      <c r="F39" s="10"/>
      <c r="G39" s="12"/>
      <c r="H39" s="173"/>
      <c r="I39" s="9"/>
      <c r="J39" s="65"/>
      <c r="K39" s="232"/>
      <c r="L39" s="232"/>
      <c r="M39" s="232"/>
      <c r="N39" s="10"/>
      <c r="O39" s="214"/>
      <c r="P39" s="214"/>
      <c r="Q39" s="18"/>
      <c r="R39" s="10"/>
      <c r="S39" s="10"/>
      <c r="T39" s="10"/>
      <c r="U39" s="10"/>
      <c r="V39" s="10"/>
      <c r="W39" s="12"/>
      <c r="X39" s="173"/>
      <c r="Y39" s="9"/>
      <c r="Z39" s="10"/>
      <c r="AA39" s="10"/>
      <c r="AB39" s="10"/>
      <c r="AC39" s="10"/>
      <c r="AD39" s="12"/>
      <c r="AF39" s="141">
        <f>SUM(AF34:AF38)</f>
        <v>0</v>
      </c>
      <c r="AG39" s="141">
        <f>SUM(AG34:AG38)</f>
        <v>0</v>
      </c>
      <c r="AH39" s="141"/>
    </row>
    <row r="40" spans="2:34" ht="19" thickTop="1">
      <c r="B40" s="9"/>
      <c r="C40" s="945"/>
      <c r="D40" s="946"/>
      <c r="E40" s="946"/>
      <c r="F40" s="947"/>
      <c r="G40" s="12"/>
      <c r="H40" s="173"/>
      <c r="I40" s="9"/>
      <c r="J40" s="28" t="s">
        <v>40</v>
      </c>
      <c r="K40" s="225" t="s">
        <v>347</v>
      </c>
      <c r="L40" s="232"/>
      <c r="M40" s="232"/>
      <c r="N40" s="10"/>
      <c r="O40" s="214"/>
      <c r="P40" s="214"/>
      <c r="Q40" s="18"/>
      <c r="R40" s="10"/>
      <c r="S40" s="10"/>
      <c r="T40" s="10"/>
      <c r="U40" s="10"/>
      <c r="V40" s="10"/>
      <c r="W40" s="12"/>
      <c r="X40" s="173"/>
      <c r="Y40" s="9"/>
      <c r="Z40" s="10"/>
      <c r="AA40" s="10"/>
      <c r="AB40" s="10"/>
      <c r="AC40" s="10"/>
      <c r="AD40" s="12"/>
    </row>
    <row r="41" spans="2:34">
      <c r="B41" s="9"/>
      <c r="C41" s="948"/>
      <c r="D41" s="949"/>
      <c r="E41" s="949"/>
      <c r="F41" s="950"/>
      <c r="G41" s="12"/>
      <c r="H41" s="173"/>
      <c r="I41" s="9"/>
      <c r="J41" s="65"/>
      <c r="K41" s="232"/>
      <c r="L41" s="232"/>
      <c r="M41" s="232"/>
      <c r="N41" s="10"/>
      <c r="O41" s="214"/>
      <c r="P41" s="214"/>
      <c r="Q41" s="18"/>
      <c r="R41" s="10"/>
      <c r="S41" s="10"/>
      <c r="T41" s="10"/>
      <c r="U41" s="10"/>
      <c r="V41" s="10"/>
      <c r="W41" s="12"/>
      <c r="X41" s="173"/>
      <c r="Y41" s="9"/>
      <c r="Z41" s="10"/>
      <c r="AA41" s="10"/>
      <c r="AB41" s="10"/>
      <c r="AC41" s="10"/>
      <c r="AD41" s="12"/>
    </row>
    <row r="42" spans="2:34" ht="22.5" customHeight="1">
      <c r="B42" s="19"/>
      <c r="C42" s="948"/>
      <c r="D42" s="949"/>
      <c r="E42" s="949"/>
      <c r="F42" s="950"/>
      <c r="G42" s="20"/>
      <c r="H42" s="169"/>
      <c r="I42" s="9"/>
      <c r="J42" s="673">
        <v>4.0999999999999996</v>
      </c>
      <c r="K42" s="612" t="s">
        <v>350</v>
      </c>
      <c r="L42" s="612"/>
      <c r="M42" s="612"/>
      <c r="N42" s="24"/>
      <c r="O42" s="943" t="s">
        <v>351</v>
      </c>
      <c r="P42" s="944"/>
      <c r="Q42" s="37" t="b">
        <v>0</v>
      </c>
      <c r="R42" s="22"/>
      <c r="S42" s="960" t="s">
        <v>80</v>
      </c>
      <c r="T42" s="960"/>
      <c r="U42" s="960"/>
      <c r="V42" s="960"/>
      <c r="W42" s="23"/>
      <c r="X42" s="169"/>
      <c r="Y42" s="19"/>
      <c r="Z42" s="659" t="str">
        <f>IF(AF46,Feedback_List!B89," ")</f>
        <v xml:space="preserve"> </v>
      </c>
      <c r="AA42" s="660"/>
      <c r="AB42" s="660"/>
      <c r="AC42" s="661"/>
      <c r="AD42" s="20"/>
      <c r="AE42" s="95"/>
      <c r="AF42" s="132">
        <f>IF(Q42, 1, 0)</f>
        <v>0</v>
      </c>
      <c r="AG42" s="121">
        <f>IF(AF42,3,IF(AF43,2,IF(AF44,1,IF(AF45,0,IF(AF46,0,0)))))</f>
        <v>0</v>
      </c>
      <c r="AH42" s="698">
        <f>SUM(AG42:AG46) * AM10</f>
        <v>0</v>
      </c>
    </row>
    <row r="43" spans="2:34" ht="22.5" customHeight="1">
      <c r="B43" s="19"/>
      <c r="C43" s="948"/>
      <c r="D43" s="949"/>
      <c r="E43" s="949"/>
      <c r="F43" s="950"/>
      <c r="G43" s="20"/>
      <c r="H43" s="169"/>
      <c r="I43" s="9"/>
      <c r="J43" s="673"/>
      <c r="K43" s="612"/>
      <c r="L43" s="612"/>
      <c r="M43" s="612"/>
      <c r="N43" s="24"/>
      <c r="O43" s="943" t="s">
        <v>352</v>
      </c>
      <c r="P43" s="944"/>
      <c r="Q43" s="37" t="b">
        <v>0</v>
      </c>
      <c r="R43" s="22"/>
      <c r="S43" s="960"/>
      <c r="T43" s="960"/>
      <c r="U43" s="960"/>
      <c r="V43" s="960"/>
      <c r="W43" s="23"/>
      <c r="X43" s="169"/>
      <c r="Y43" s="19"/>
      <c r="Z43" s="662"/>
      <c r="AA43" s="663"/>
      <c r="AB43" s="663"/>
      <c r="AC43" s="664"/>
      <c r="AD43" s="20"/>
      <c r="AE43" s="95"/>
      <c r="AF43" s="123">
        <f t="shared" ref="AF43:AF46" si="5">IF(Q43, 1, 0)</f>
        <v>0</v>
      </c>
      <c r="AG43" s="122"/>
      <c r="AH43" s="699"/>
    </row>
    <row r="44" spans="2:34" ht="22.5" customHeight="1">
      <c r="B44" s="27"/>
      <c r="C44" s="948"/>
      <c r="D44" s="949"/>
      <c r="E44" s="949"/>
      <c r="F44" s="950"/>
      <c r="G44" s="23"/>
      <c r="H44" s="169"/>
      <c r="I44" s="9"/>
      <c r="J44" s="673"/>
      <c r="K44" s="612"/>
      <c r="L44" s="612"/>
      <c r="M44" s="612"/>
      <c r="N44" s="24"/>
      <c r="O44" s="943" t="s">
        <v>353</v>
      </c>
      <c r="P44" s="944"/>
      <c r="Q44" s="37" t="b">
        <v>0</v>
      </c>
      <c r="R44" s="22"/>
      <c r="S44" s="960"/>
      <c r="T44" s="960"/>
      <c r="U44" s="960"/>
      <c r="V44" s="960"/>
      <c r="W44" s="23"/>
      <c r="X44" s="169"/>
      <c r="Y44" s="27"/>
      <c r="Z44" s="662"/>
      <c r="AA44" s="663"/>
      <c r="AB44" s="663"/>
      <c r="AC44" s="664"/>
      <c r="AD44" s="23"/>
      <c r="AE44" s="100"/>
      <c r="AF44" s="123">
        <f t="shared" si="5"/>
        <v>0</v>
      </c>
      <c r="AG44" s="122"/>
      <c r="AH44" s="699"/>
    </row>
    <row r="45" spans="2:34" ht="22.5" customHeight="1">
      <c r="B45" s="27"/>
      <c r="C45" s="948"/>
      <c r="D45" s="949"/>
      <c r="E45" s="949"/>
      <c r="F45" s="950"/>
      <c r="G45" s="23"/>
      <c r="H45" s="169"/>
      <c r="I45" s="9"/>
      <c r="J45" s="673"/>
      <c r="K45" s="612"/>
      <c r="L45" s="612"/>
      <c r="M45" s="612"/>
      <c r="N45" s="24"/>
      <c r="O45" s="943" t="s">
        <v>354</v>
      </c>
      <c r="P45" s="944"/>
      <c r="Q45" s="37" t="b">
        <v>0</v>
      </c>
      <c r="R45" s="22"/>
      <c r="S45" s="960"/>
      <c r="T45" s="960"/>
      <c r="U45" s="960"/>
      <c r="V45" s="960"/>
      <c r="W45" s="23"/>
      <c r="X45" s="169"/>
      <c r="Y45" s="27"/>
      <c r="Z45" s="662"/>
      <c r="AA45" s="663"/>
      <c r="AB45" s="663"/>
      <c r="AC45" s="664"/>
      <c r="AD45" s="23"/>
      <c r="AE45" s="100"/>
      <c r="AF45" s="123">
        <f t="shared" si="5"/>
        <v>0</v>
      </c>
      <c r="AG45" s="122"/>
      <c r="AH45" s="699"/>
    </row>
    <row r="46" spans="2:34" ht="22.5" customHeight="1">
      <c r="B46" s="27"/>
      <c r="C46" s="951"/>
      <c r="D46" s="952"/>
      <c r="E46" s="952"/>
      <c r="F46" s="953"/>
      <c r="G46" s="23"/>
      <c r="H46" s="169"/>
      <c r="I46" s="9"/>
      <c r="J46" s="673"/>
      <c r="K46" s="612"/>
      <c r="L46" s="612"/>
      <c r="M46" s="612"/>
      <c r="N46" s="24"/>
      <c r="O46" s="943" t="s">
        <v>355</v>
      </c>
      <c r="P46" s="944"/>
      <c r="Q46" s="37" t="b">
        <v>0</v>
      </c>
      <c r="R46" s="22"/>
      <c r="S46" s="960"/>
      <c r="T46" s="960"/>
      <c r="U46" s="960"/>
      <c r="V46" s="960"/>
      <c r="W46" s="23"/>
      <c r="X46" s="169"/>
      <c r="Y46" s="27"/>
      <c r="Z46" s="665"/>
      <c r="AA46" s="666"/>
      <c r="AB46" s="666"/>
      <c r="AC46" s="667"/>
      <c r="AD46" s="23"/>
      <c r="AE46" s="100"/>
      <c r="AF46" s="110">
        <f t="shared" si="5"/>
        <v>0</v>
      </c>
      <c r="AG46" s="111"/>
      <c r="AH46" s="700"/>
    </row>
    <row r="47" spans="2:34" ht="19" thickBot="1">
      <c r="B47" s="9"/>
      <c r="C47" s="10"/>
      <c r="D47" s="10"/>
      <c r="E47" s="10"/>
      <c r="F47" s="10"/>
      <c r="G47" s="12"/>
      <c r="H47" s="173"/>
      <c r="I47" s="9"/>
      <c r="J47" s="65"/>
      <c r="K47" s="232"/>
      <c r="L47" s="232"/>
      <c r="M47" s="232"/>
      <c r="N47" s="10"/>
      <c r="O47" s="214"/>
      <c r="P47" s="214"/>
      <c r="Q47" s="18"/>
      <c r="R47" s="10"/>
      <c r="S47" s="10"/>
      <c r="T47" s="10"/>
      <c r="U47" s="10"/>
      <c r="V47" s="10"/>
      <c r="W47" s="12"/>
      <c r="X47" s="173"/>
      <c r="Y47" s="9"/>
      <c r="Z47" s="10"/>
      <c r="AA47" s="10"/>
      <c r="AB47" s="10"/>
      <c r="AC47" s="10"/>
      <c r="AD47" s="12"/>
      <c r="AF47" s="141">
        <f>SUM(AF42:AF46)</f>
        <v>0</v>
      </c>
      <c r="AG47" s="141">
        <f>SUM(AG42:AG46)</f>
        <v>0</v>
      </c>
      <c r="AH47" s="141"/>
    </row>
    <row r="48" spans="2:34" ht="21" thickTop="1">
      <c r="B48" s="9"/>
      <c r="C48" s="10"/>
      <c r="D48" s="10"/>
      <c r="E48" s="10"/>
      <c r="F48" s="10"/>
      <c r="G48" s="12"/>
      <c r="H48" s="173"/>
      <c r="I48" s="9"/>
      <c r="J48" s="957" t="s">
        <v>356</v>
      </c>
      <c r="K48" s="958"/>
      <c r="L48" s="958"/>
      <c r="M48" s="958"/>
      <c r="N48" s="958"/>
      <c r="O48" s="958"/>
      <c r="P48" s="958"/>
      <c r="Q48" s="959"/>
      <c r="R48" s="79"/>
      <c r="S48" s="954" t="str">
        <f>ROUND(AH42+AH34+AH27+AH7,0) &amp; "/5"</f>
        <v>0/5</v>
      </c>
      <c r="T48" s="955"/>
      <c r="U48" s="955"/>
      <c r="V48" s="956"/>
      <c r="W48" s="80"/>
      <c r="X48" s="173"/>
      <c r="Y48" s="9"/>
      <c r="Z48" s="10"/>
      <c r="AA48" s="10"/>
      <c r="AB48" s="10"/>
      <c r="AC48" s="10"/>
      <c r="AD48" s="12"/>
    </row>
    <row r="49" spans="2:30" ht="19" thickBot="1">
      <c r="B49" s="14"/>
      <c r="C49" s="15"/>
      <c r="D49" s="15"/>
      <c r="E49" s="15"/>
      <c r="F49" s="15"/>
      <c r="G49" s="16"/>
      <c r="H49" s="173"/>
      <c r="I49" s="14"/>
      <c r="J49" s="67"/>
      <c r="K49" s="233"/>
      <c r="L49" s="233"/>
      <c r="M49" s="233"/>
      <c r="N49" s="15"/>
      <c r="O49" s="221"/>
      <c r="P49" s="221"/>
      <c r="Q49" s="63"/>
      <c r="R49" s="15"/>
      <c r="S49" s="15"/>
      <c r="T49" s="15"/>
      <c r="U49" s="15"/>
      <c r="V49" s="15"/>
      <c r="W49" s="16"/>
      <c r="X49" s="173"/>
      <c r="Y49" s="14"/>
      <c r="Z49" s="15"/>
      <c r="AA49" s="15"/>
      <c r="AB49" s="15"/>
      <c r="AC49" s="15"/>
      <c r="AD49" s="16"/>
    </row>
  </sheetData>
  <mergeCells count="67">
    <mergeCell ref="AH42:AH46"/>
    <mergeCell ref="J27:J30"/>
    <mergeCell ref="K27:M30"/>
    <mergeCell ref="O27:P27"/>
    <mergeCell ref="S27:V30"/>
    <mergeCell ref="Z27:AC30"/>
    <mergeCell ref="O28:P28"/>
    <mergeCell ref="O29:P29"/>
    <mergeCell ref="J34:J38"/>
    <mergeCell ref="K34:M38"/>
    <mergeCell ref="O34:P34"/>
    <mergeCell ref="S34:V38"/>
    <mergeCell ref="Z42:AC46"/>
    <mergeCell ref="O30:P30"/>
    <mergeCell ref="Z34:AC38"/>
    <mergeCell ref="O35:P35"/>
    <mergeCell ref="B2:G3"/>
    <mergeCell ref="C5:F23"/>
    <mergeCell ref="C25:F30"/>
    <mergeCell ref="AH27:AH30"/>
    <mergeCell ref="AH34:AH38"/>
    <mergeCell ref="I2:W3"/>
    <mergeCell ref="Y2:AD3"/>
    <mergeCell ref="J7:J11"/>
    <mergeCell ref="K7:M11"/>
    <mergeCell ref="S7:V11"/>
    <mergeCell ref="Z7:AC11"/>
    <mergeCell ref="O7:P7"/>
    <mergeCell ref="O8:P8"/>
    <mergeCell ref="O9:P9"/>
    <mergeCell ref="O10:P10"/>
    <mergeCell ref="O11:P11"/>
    <mergeCell ref="AM5:AM6"/>
    <mergeCell ref="AH7:AH22"/>
    <mergeCell ref="Z13:AC18"/>
    <mergeCell ref="O14:P14"/>
    <mergeCell ref="O15:P15"/>
    <mergeCell ref="O13:P13"/>
    <mergeCell ref="S13:V18"/>
    <mergeCell ref="Z20:AC23"/>
    <mergeCell ref="S20:V23"/>
    <mergeCell ref="Q20:Q21"/>
    <mergeCell ref="Q22:Q23"/>
    <mergeCell ref="J13:J18"/>
    <mergeCell ref="O16:P16"/>
    <mergeCell ref="O17:P17"/>
    <mergeCell ref="O18:P18"/>
    <mergeCell ref="K13:M18"/>
    <mergeCell ref="S48:V48"/>
    <mergeCell ref="O43:P43"/>
    <mergeCell ref="O44:P44"/>
    <mergeCell ref="O45:P45"/>
    <mergeCell ref="O46:P46"/>
    <mergeCell ref="J48:Q48"/>
    <mergeCell ref="J42:J46"/>
    <mergeCell ref="K42:M46"/>
    <mergeCell ref="O42:P42"/>
    <mergeCell ref="S42:V46"/>
    <mergeCell ref="O36:P36"/>
    <mergeCell ref="C32:F38"/>
    <mergeCell ref="C40:F46"/>
    <mergeCell ref="K20:M23"/>
    <mergeCell ref="J20:J23"/>
    <mergeCell ref="O37:P37"/>
    <mergeCell ref="O38:P38"/>
    <mergeCell ref="O22:P23"/>
    <mergeCell ref="O20:P21"/>
  </mergeCells>
  <conditionalFormatting sqref="O20 Q20">
    <cfRule type="expression" dxfId="39" priority="21">
      <formula>$Q$22</formula>
    </cfRule>
  </conditionalFormatting>
  <conditionalFormatting sqref="O22 Q22">
    <cfRule type="expression" dxfId="38" priority="22">
      <formula>$Q$20</formula>
    </cfRule>
  </conditionalFormatting>
  <conditionalFormatting sqref="O7:Q7 O9:Q11">
    <cfRule type="expression" dxfId="37" priority="32">
      <formula>$Q$8</formula>
    </cfRule>
  </conditionalFormatting>
  <conditionalFormatting sqref="O7:Q8 O10:Q11">
    <cfRule type="expression" dxfId="36" priority="31">
      <formula>$Q$9</formula>
    </cfRule>
  </conditionalFormatting>
  <conditionalFormatting sqref="O7:Q9 O11:Q11">
    <cfRule type="expression" dxfId="35" priority="30">
      <formula>$Q$10</formula>
    </cfRule>
  </conditionalFormatting>
  <conditionalFormatting sqref="O7:Q10">
    <cfRule type="expression" dxfId="34" priority="29">
      <formula>$Q$11</formula>
    </cfRule>
  </conditionalFormatting>
  <conditionalFormatting sqref="O8:Q11">
    <cfRule type="expression" dxfId="33" priority="33">
      <formula>$Q$7</formula>
    </cfRule>
  </conditionalFormatting>
  <conditionalFormatting sqref="O13:Q13 O15:Q18">
    <cfRule type="expression" dxfId="32" priority="27">
      <formula>$Q$14</formula>
    </cfRule>
  </conditionalFormatting>
  <conditionalFormatting sqref="O13:Q14 O16:Q18">
    <cfRule type="expression" dxfId="31" priority="26">
      <formula>$Q$15</formula>
    </cfRule>
  </conditionalFormatting>
  <conditionalFormatting sqref="O13:Q15 O17:Q18">
    <cfRule type="expression" dxfId="30" priority="25">
      <formula>$Q$16</formula>
    </cfRule>
  </conditionalFormatting>
  <conditionalFormatting sqref="O13:Q16 O18:Q18">
    <cfRule type="expression" dxfId="29" priority="24">
      <formula>$Q$17</formula>
    </cfRule>
  </conditionalFormatting>
  <conditionalFormatting sqref="O13:Q17">
    <cfRule type="expression" dxfId="28" priority="23">
      <formula>$Q$18</formula>
    </cfRule>
  </conditionalFormatting>
  <conditionalFormatting sqref="O14:Q18">
    <cfRule type="expression" dxfId="27" priority="28">
      <formula>$Q$13</formula>
    </cfRule>
  </conditionalFormatting>
  <conditionalFormatting sqref="O27:Q27 O29:Q30">
    <cfRule type="expression" dxfId="26" priority="19">
      <formula>$Q$28</formula>
    </cfRule>
  </conditionalFormatting>
  <conditionalFormatting sqref="O27:Q28 O30:Q30">
    <cfRule type="expression" dxfId="25" priority="18">
      <formula>$Q$29</formula>
    </cfRule>
  </conditionalFormatting>
  <conditionalFormatting sqref="O27:Q29">
    <cfRule type="expression" dxfId="24" priority="17">
      <formula>$Q$30</formula>
    </cfRule>
  </conditionalFormatting>
  <conditionalFormatting sqref="O28:Q30">
    <cfRule type="expression" dxfId="23" priority="20">
      <formula>$Q$27</formula>
    </cfRule>
  </conditionalFormatting>
  <conditionalFormatting sqref="O34:Q34 O36:Q38">
    <cfRule type="expression" dxfId="22" priority="15">
      <formula>$Q$35</formula>
    </cfRule>
  </conditionalFormatting>
  <conditionalFormatting sqref="O34:Q35 O37:Q38">
    <cfRule type="expression" dxfId="21" priority="14">
      <formula>$Q$36</formula>
    </cfRule>
  </conditionalFormatting>
  <conditionalFormatting sqref="O34:Q36 O38:Q38">
    <cfRule type="expression" dxfId="20" priority="13">
      <formula>$Q$37</formula>
    </cfRule>
  </conditionalFormatting>
  <conditionalFormatting sqref="O34:Q37">
    <cfRule type="expression" dxfId="19" priority="12">
      <formula>$Q$38</formula>
    </cfRule>
  </conditionalFormatting>
  <conditionalFormatting sqref="O35:Q38">
    <cfRule type="expression" dxfId="18" priority="16">
      <formula>$Q$34</formula>
    </cfRule>
  </conditionalFormatting>
  <conditionalFormatting sqref="O42:Q42 O44:Q46">
    <cfRule type="expression" dxfId="17" priority="10">
      <formula>$Q$43</formula>
    </cfRule>
  </conditionalFormatting>
  <conditionalFormatting sqref="O42:Q43 O45:Q46">
    <cfRule type="expression" dxfId="16" priority="9">
      <formula>$Q$44</formula>
    </cfRule>
  </conditionalFormatting>
  <conditionalFormatting sqref="O42:Q44 O46:Q46">
    <cfRule type="expression" dxfId="15" priority="8">
      <formula>$Q$45</formula>
    </cfRule>
  </conditionalFormatting>
  <conditionalFormatting sqref="O42:Q45">
    <cfRule type="expression" dxfId="14" priority="7">
      <formula>$Q$46</formula>
    </cfRule>
  </conditionalFormatting>
  <conditionalFormatting sqref="O43:Q46">
    <cfRule type="expression" dxfId="13" priority="11">
      <formula>$Q$42</formula>
    </cfRule>
  </conditionalFormatting>
  <conditionalFormatting sqref="Z7:AC11">
    <cfRule type="expression" dxfId="12" priority="6">
      <formula>$Q$11</formula>
    </cfRule>
  </conditionalFormatting>
  <conditionalFormatting sqref="Z13:AC18">
    <cfRule type="expression" dxfId="11" priority="5">
      <formula>$Q$18</formula>
    </cfRule>
  </conditionalFormatting>
  <conditionalFormatting sqref="Z20:AC23">
    <cfRule type="expression" dxfId="10" priority="4">
      <formula>$Q$22</formula>
    </cfRule>
  </conditionalFormatting>
  <conditionalFormatting sqref="Z27:AC30">
    <cfRule type="expression" dxfId="9" priority="3">
      <formula>$Q$30</formula>
    </cfRule>
  </conditionalFormatting>
  <conditionalFormatting sqref="Z34:AC38">
    <cfRule type="expression" dxfId="8" priority="2">
      <formula>$Q$38</formula>
    </cfRule>
  </conditionalFormatting>
  <conditionalFormatting sqref="Z42:AC46">
    <cfRule type="expression" dxfId="7" priority="1">
      <formula>$Q$46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3F35-4C8C-4CB8-B96D-7035A2944E07}">
  <sheetPr codeName="Sheet16">
    <tabColor rgb="FFFFC000"/>
  </sheetPr>
  <dimension ref="A1:AI128"/>
  <sheetViews>
    <sheetView showGridLines="0" topLeftCell="A17" zoomScale="69" zoomScaleNormal="69" workbookViewId="0">
      <selection activeCell="B30" sqref="B30:H42"/>
    </sheetView>
  </sheetViews>
  <sheetFormatPr baseColWidth="10" defaultColWidth="8.6640625" defaultRowHeight="16"/>
  <cols>
    <col min="1" max="1" width="3.6640625" style="91" customWidth="1"/>
    <col min="2" max="2" width="17.6640625" style="91" customWidth="1"/>
    <col min="3" max="7" width="16.6640625" style="91" customWidth="1"/>
    <col min="8" max="8" width="2.5" style="91" customWidth="1"/>
    <col min="9" max="9" width="2.33203125" style="91" customWidth="1"/>
    <col min="10" max="10" width="25.83203125" style="91" customWidth="1"/>
    <col min="11" max="14" width="24.1640625" style="91" customWidth="1"/>
    <col min="15" max="16" width="15.33203125" style="91" customWidth="1"/>
    <col min="17" max="17" width="3" style="91" customWidth="1"/>
    <col min="18" max="18" width="12.5" style="91" customWidth="1"/>
    <col min="19" max="19" width="12.33203125" style="91" customWidth="1"/>
    <col min="20" max="20" width="8.83203125" style="91" customWidth="1"/>
    <col min="21" max="21" width="9.33203125" style="91" customWidth="1"/>
    <col min="22" max="27" width="8.6640625" style="91"/>
    <col min="28" max="28" width="3.1640625" style="91" customWidth="1"/>
    <col min="29" max="29" width="9" style="91" customWidth="1"/>
    <col min="30" max="30" width="31.83203125" style="91" customWidth="1"/>
    <col min="31" max="33" width="8.6640625" style="91" customWidth="1"/>
    <col min="34" max="16384" width="8.6640625" style="91"/>
  </cols>
  <sheetData>
    <row r="1" spans="1:35" s="7" customFormat="1" ht="76.5" customHeight="1" thickBot="1">
      <c r="A1" s="972" t="s">
        <v>282</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3"/>
    </row>
    <row r="2" spans="1:35">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326"/>
      <c r="AD2" s="404" t="str">
        <f>MilestoneGraphs_Calc!F15</f>
        <v xml:space="preserve">Milestone 1: Establish Greenhouse Gas Inventory and Scope of Work </v>
      </c>
      <c r="AE2" s="405">
        <f>MilestoneGraphs_Calc!G15</f>
        <v>15</v>
      </c>
      <c r="AF2" s="406">
        <f>MilestoneGraphs_Calc!H15</f>
        <v>0</v>
      </c>
      <c r="AH2" s="404" t="str">
        <f t="shared" ref="AH2:AH8" si="0">AD2</f>
        <v xml:space="preserve">Milestone 1: Establish Greenhouse Gas Inventory and Scope of Work </v>
      </c>
      <c r="AI2" s="411" t="str">
        <f t="shared" ref="AI2:AI8" si="1">ROUND(AF2,0) &amp; "/" &amp; AE2</f>
        <v>0/15</v>
      </c>
    </row>
    <row r="3" spans="1:35" ht="19.5" customHeight="1">
      <c r="A3" s="9"/>
      <c r="B3" s="1003" t="s">
        <v>1054</v>
      </c>
      <c r="C3" s="1004"/>
      <c r="D3" s="1004"/>
      <c r="E3" s="1004"/>
      <c r="F3" s="1004"/>
      <c r="G3" s="1004"/>
      <c r="H3" s="1004"/>
      <c r="I3" s="1004"/>
      <c r="J3" s="1004"/>
      <c r="K3" s="1004"/>
      <c r="L3" s="1004"/>
      <c r="M3" s="1004"/>
      <c r="N3" s="1005"/>
      <c r="O3" s="356"/>
      <c r="P3" s="10"/>
      <c r="Q3" s="341"/>
      <c r="R3" s="10"/>
      <c r="S3" s="10"/>
      <c r="T3" s="10"/>
      <c r="U3" s="10"/>
      <c r="V3" s="10"/>
      <c r="W3" s="10"/>
      <c r="X3" s="10"/>
      <c r="Y3" s="10"/>
      <c r="Z3" s="10"/>
      <c r="AA3" s="10"/>
      <c r="AB3" s="12"/>
      <c r="AD3" s="201" t="str">
        <f>MilestoneGraphs_Calc!F17</f>
        <v>Milestone 2: Categorize Portfolio</v>
      </c>
      <c r="AE3" s="103">
        <f>MilestoneGraphs_Calc!G17</f>
        <v>15</v>
      </c>
      <c r="AF3" s="407">
        <f>MilestoneGraphs_Calc!H17</f>
        <v>0</v>
      </c>
      <c r="AH3" s="201" t="str">
        <f t="shared" si="0"/>
        <v>Milestone 2: Categorize Portfolio</v>
      </c>
      <c r="AI3" s="200" t="str">
        <f t="shared" si="1"/>
        <v>0/15</v>
      </c>
    </row>
    <row r="4" spans="1:35" ht="19.5" customHeight="1">
      <c r="A4" s="9"/>
      <c r="B4" s="1006"/>
      <c r="C4" s="1007"/>
      <c r="D4" s="1007"/>
      <c r="E4" s="1007"/>
      <c r="F4" s="1007"/>
      <c r="G4" s="1007"/>
      <c r="H4" s="1007"/>
      <c r="I4" s="1007"/>
      <c r="J4" s="1007"/>
      <c r="K4" s="1007"/>
      <c r="L4" s="1007"/>
      <c r="M4" s="1007"/>
      <c r="N4" s="1008"/>
      <c r="O4" s="356"/>
      <c r="P4" s="10"/>
      <c r="Q4" s="341"/>
      <c r="R4" s="10"/>
      <c r="S4" s="10"/>
      <c r="T4" s="10"/>
      <c r="U4" s="10"/>
      <c r="V4" s="10"/>
      <c r="W4" s="10"/>
      <c r="X4" s="10"/>
      <c r="Y4" s="10"/>
      <c r="Z4" s="10"/>
      <c r="AA4" s="10"/>
      <c r="AB4" s="12"/>
      <c r="AD4" s="201" t="str">
        <f>MilestoneGraphs_Calc!F19</f>
        <v>Milestone 3: Assess Measures</v>
      </c>
      <c r="AE4" s="103">
        <f>MilestoneGraphs_Calc!G19</f>
        <v>25</v>
      </c>
      <c r="AF4" s="407">
        <f>MilestoneGraphs_Calc!H19</f>
        <v>0</v>
      </c>
      <c r="AH4" s="201" t="str">
        <f t="shared" si="0"/>
        <v>Milestone 3: Assess Measures</v>
      </c>
      <c r="AI4" s="200" t="str">
        <f t="shared" si="1"/>
        <v>0/25</v>
      </c>
    </row>
    <row r="5" spans="1:35" ht="19.5" customHeight="1">
      <c r="A5" s="9"/>
      <c r="B5" s="1006"/>
      <c r="C5" s="1007"/>
      <c r="D5" s="1007"/>
      <c r="E5" s="1007"/>
      <c r="F5" s="1007"/>
      <c r="G5" s="1007"/>
      <c r="H5" s="1007"/>
      <c r="I5" s="1007"/>
      <c r="J5" s="1007"/>
      <c r="K5" s="1007"/>
      <c r="L5" s="1007"/>
      <c r="M5" s="1007"/>
      <c r="N5" s="1008"/>
      <c r="O5" s="356"/>
      <c r="P5" s="10"/>
      <c r="Q5" s="341"/>
      <c r="R5" s="10"/>
      <c r="S5" s="10"/>
      <c r="T5" s="10"/>
      <c r="U5" s="10"/>
      <c r="V5" s="10"/>
      <c r="W5" s="10"/>
      <c r="X5" s="10"/>
      <c r="Y5" s="10"/>
      <c r="Z5" s="10"/>
      <c r="AA5" s="10"/>
      <c r="AB5" s="12"/>
      <c r="AD5" s="201" t="str">
        <f>MilestoneGraphs_Calc!F21</f>
        <v>Milestone 4: Develop Scenarios</v>
      </c>
      <c r="AE5" s="103">
        <f>MilestoneGraphs_Calc!G21</f>
        <v>25</v>
      </c>
      <c r="AF5" s="407">
        <f>MilestoneGraphs_Calc!H21</f>
        <v>0</v>
      </c>
      <c r="AH5" s="201" t="str">
        <f t="shared" si="0"/>
        <v>Milestone 4: Develop Scenarios</v>
      </c>
      <c r="AI5" s="200" t="str">
        <f t="shared" si="1"/>
        <v>0/25</v>
      </c>
    </row>
    <row r="6" spans="1:35" ht="19.5" customHeight="1">
      <c r="A6" s="9"/>
      <c r="B6" s="1006"/>
      <c r="C6" s="1007"/>
      <c r="D6" s="1007"/>
      <c r="E6" s="1007"/>
      <c r="F6" s="1007"/>
      <c r="G6" s="1007"/>
      <c r="H6" s="1007"/>
      <c r="I6" s="1007"/>
      <c r="J6" s="1007"/>
      <c r="K6" s="1007"/>
      <c r="L6" s="1007"/>
      <c r="M6" s="1007"/>
      <c r="N6" s="1008"/>
      <c r="O6" s="356"/>
      <c r="P6" s="10"/>
      <c r="Q6" s="341"/>
      <c r="R6" s="10"/>
      <c r="S6" s="10"/>
      <c r="T6" s="10"/>
      <c r="U6" s="10"/>
      <c r="V6" s="10"/>
      <c r="W6" s="10"/>
      <c r="X6" s="10"/>
      <c r="Y6" s="10"/>
      <c r="Z6" s="10"/>
      <c r="AA6" s="10"/>
      <c r="AB6" s="12"/>
      <c r="AD6" s="201" t="str">
        <f>MilestoneGraphs_Calc!F23</f>
        <v>Milestone 5: Define Emissions Reduction Plan</v>
      </c>
      <c r="AE6" s="103">
        <f>MilestoneGraphs_Calc!G23</f>
        <v>15</v>
      </c>
      <c r="AF6" s="407">
        <f>MilestoneGraphs_Calc!H23</f>
        <v>0</v>
      </c>
      <c r="AH6" s="201" t="str">
        <f t="shared" si="0"/>
        <v>Milestone 5: Define Emissions Reduction Plan</v>
      </c>
      <c r="AI6" s="200" t="str">
        <f t="shared" si="1"/>
        <v>0/15</v>
      </c>
    </row>
    <row r="7" spans="1:35" ht="19.5" customHeight="1">
      <c r="A7" s="9"/>
      <c r="B7" s="1006"/>
      <c r="C7" s="1007"/>
      <c r="D7" s="1007"/>
      <c r="E7" s="1007"/>
      <c r="F7" s="1007"/>
      <c r="G7" s="1007"/>
      <c r="H7" s="1007"/>
      <c r="I7" s="1007"/>
      <c r="J7" s="1007"/>
      <c r="K7" s="1007"/>
      <c r="L7" s="1007"/>
      <c r="M7" s="1007"/>
      <c r="N7" s="1008"/>
      <c r="O7" s="356"/>
      <c r="P7" s="10"/>
      <c r="Q7" s="341"/>
      <c r="R7" s="10"/>
      <c r="S7" s="10"/>
      <c r="T7" s="10"/>
      <c r="U7" s="10"/>
      <c r="V7" s="10"/>
      <c r="W7" s="10"/>
      <c r="X7" s="10"/>
      <c r="Y7" s="10"/>
      <c r="Z7" s="10"/>
      <c r="AA7" s="10"/>
      <c r="AB7" s="12"/>
      <c r="AD7" s="408" t="str">
        <f>MilestoneGraphs_Calc!F25</f>
        <v xml:space="preserve">Milestone 6: Ongoing Implementation </v>
      </c>
      <c r="AE7" s="409">
        <f>MilestoneGraphs_Calc!G25</f>
        <v>5</v>
      </c>
      <c r="AF7" s="410">
        <f>MilestoneGraphs_Calc!H25</f>
        <v>0</v>
      </c>
      <c r="AH7" s="201" t="str">
        <f t="shared" si="0"/>
        <v xml:space="preserve">Milestone 6: Ongoing Implementation </v>
      </c>
      <c r="AI7" s="200" t="str">
        <f t="shared" si="1"/>
        <v>0/5</v>
      </c>
    </row>
    <row r="8" spans="1:35" ht="19.5" customHeight="1" thickBot="1">
      <c r="A8" s="9"/>
      <c r="B8" s="1009"/>
      <c r="C8" s="1010"/>
      <c r="D8" s="1010"/>
      <c r="E8" s="1010"/>
      <c r="F8" s="1010"/>
      <c r="G8" s="1010"/>
      <c r="H8" s="1010"/>
      <c r="I8" s="1010"/>
      <c r="J8" s="1010"/>
      <c r="K8" s="1010"/>
      <c r="L8" s="1010"/>
      <c r="M8" s="1010"/>
      <c r="N8" s="1011"/>
      <c r="O8" s="356"/>
      <c r="P8" s="10"/>
      <c r="Q8" s="341"/>
      <c r="R8" s="10"/>
      <c r="S8" s="10"/>
      <c r="T8" s="10"/>
      <c r="U8" s="10"/>
      <c r="V8" s="10"/>
      <c r="W8" s="10"/>
      <c r="X8" s="10"/>
      <c r="Y8" s="10"/>
      <c r="Z8" s="10"/>
      <c r="AA8" s="10"/>
      <c r="AB8" s="12"/>
      <c r="AD8" s="412" t="str">
        <f>MilestoneGraphs_Calc!F27</f>
        <v>ERP total</v>
      </c>
      <c r="AE8" s="412">
        <f>MilestoneGraphs_Calc!G28</f>
        <v>100</v>
      </c>
      <c r="AF8" s="413">
        <f>MilestoneGraphs_Calc!G27</f>
        <v>0</v>
      </c>
      <c r="AH8" s="412" t="str">
        <f t="shared" si="0"/>
        <v>ERP total</v>
      </c>
      <c r="AI8" s="412" t="str">
        <f t="shared" si="1"/>
        <v>0/100</v>
      </c>
    </row>
    <row r="9" spans="1:35" ht="19.5" customHeight="1" thickTop="1">
      <c r="A9" s="9"/>
      <c r="B9" s="423"/>
      <c r="C9" s="423"/>
      <c r="D9" s="423"/>
      <c r="E9" s="423"/>
      <c r="F9" s="423"/>
      <c r="G9" s="423"/>
      <c r="H9" s="423"/>
      <c r="I9" s="423"/>
      <c r="J9" s="423"/>
      <c r="K9" s="423"/>
      <c r="L9" s="423"/>
      <c r="M9" s="423"/>
      <c r="N9" s="423"/>
      <c r="O9" s="356"/>
      <c r="P9" s="10"/>
      <c r="Q9" s="341"/>
      <c r="R9" s="10"/>
      <c r="S9" s="10"/>
      <c r="T9" s="10"/>
      <c r="U9" s="10"/>
      <c r="V9" s="10"/>
      <c r="W9" s="10"/>
      <c r="X9" s="10"/>
      <c r="Y9" s="10"/>
      <c r="Z9" s="10"/>
      <c r="AA9" s="10"/>
      <c r="AB9" s="12"/>
      <c r="AF9" s="103"/>
    </row>
    <row r="10" spans="1:35" ht="16" customHeight="1">
      <c r="A10" s="9"/>
      <c r="B10" s="999" t="s">
        <v>1063</v>
      </c>
      <c r="C10" s="1013" t="s">
        <v>1048</v>
      </c>
      <c r="D10" s="1014"/>
      <c r="E10" s="1014"/>
      <c r="F10" s="1014"/>
      <c r="G10" s="1014"/>
      <c r="H10" s="1014"/>
      <c r="I10" s="1015"/>
      <c r="J10" s="997" t="s">
        <v>1047</v>
      </c>
      <c r="K10" s="997"/>
      <c r="L10" s="997"/>
      <c r="M10" s="997"/>
      <c r="N10" s="998"/>
      <c r="O10" s="344"/>
      <c r="P10" s="10"/>
      <c r="Q10" s="10"/>
      <c r="R10" s="10"/>
      <c r="S10" s="10"/>
      <c r="T10" s="10"/>
      <c r="U10" s="10"/>
      <c r="V10" s="10"/>
      <c r="W10" s="10"/>
      <c r="X10" s="10"/>
      <c r="Y10" s="10"/>
      <c r="Z10" s="10"/>
      <c r="AA10" s="10"/>
      <c r="AB10" s="12"/>
      <c r="AF10" s="103"/>
    </row>
    <row r="11" spans="1:35">
      <c r="A11" s="9"/>
      <c r="B11" s="1000"/>
      <c r="C11" s="1016" t="s">
        <v>1066</v>
      </c>
      <c r="D11" s="1017"/>
      <c r="E11" s="1017"/>
      <c r="F11" s="1017"/>
      <c r="G11" s="1017"/>
      <c r="H11" s="1017"/>
      <c r="I11" s="1018"/>
      <c r="J11" s="1019" t="s">
        <v>1065</v>
      </c>
      <c r="K11" s="1019"/>
      <c r="L11" s="1019"/>
      <c r="M11" s="1019"/>
      <c r="N11" s="1020"/>
      <c r="O11" s="362"/>
      <c r="P11" s="10"/>
      <c r="Q11" s="10"/>
      <c r="R11" s="10"/>
      <c r="S11" s="10"/>
      <c r="T11" s="10"/>
      <c r="U11" s="10"/>
      <c r="V11" s="10"/>
      <c r="W11" s="10"/>
      <c r="X11" s="10"/>
      <c r="Y11" s="10"/>
      <c r="Z11" s="10"/>
      <c r="AA11" s="10"/>
      <c r="AB11" s="12"/>
      <c r="AF11" s="103"/>
    </row>
    <row r="12" spans="1:35" ht="158.5" customHeight="1">
      <c r="A12" s="9"/>
      <c r="B12" s="460" t="s">
        <v>731</v>
      </c>
      <c r="C12" s="1024" t="str">
        <f>IF(AE12=0, "FILL OUT MILESTONE 1 QUESTIONNAIRE",Milestone_Results_Summary!K7)</f>
        <v>FILL OUT MILESTONE 1 QUESTIONNAIRE</v>
      </c>
      <c r="D12" s="1025"/>
      <c r="E12" s="1025"/>
      <c r="F12" s="1025"/>
      <c r="G12" s="1025"/>
      <c r="H12" s="1025"/>
      <c r="I12" s="1026"/>
      <c r="J12" s="1021" t="str">
        <f>IF(AE12=0, "FILL OUT MILESTONE 1 QUESTIONNAIRE", Milestone_Results_Summary!L7)</f>
        <v>FILL OUT MILESTONE 1 QUESTIONNAIRE</v>
      </c>
      <c r="K12" s="1022"/>
      <c r="L12" s="1022"/>
      <c r="M12" s="1022"/>
      <c r="N12" s="1023"/>
      <c r="O12" s="362"/>
      <c r="P12" s="10"/>
      <c r="Q12" s="10"/>
      <c r="R12" s="10"/>
      <c r="S12" s="10"/>
      <c r="T12" s="10"/>
      <c r="U12" s="10"/>
      <c r="V12" s="10"/>
      <c r="W12" s="10"/>
      <c r="X12" s="10"/>
      <c r="Y12" s="10"/>
      <c r="Z12" s="10"/>
      <c r="AA12" s="10"/>
      <c r="AB12" s="12"/>
      <c r="AD12" s="463" t="s">
        <v>731</v>
      </c>
      <c r="AE12" s="187">
        <f>IF(SUM(Milestone_1!AH9:AH141)=0,0,1)</f>
        <v>0</v>
      </c>
      <c r="AF12" s="103"/>
    </row>
    <row r="13" spans="1:35" ht="111" customHeight="1">
      <c r="A13" s="9"/>
      <c r="B13" s="460" t="s">
        <v>734</v>
      </c>
      <c r="C13" s="1024" t="str">
        <f>IF(AE13=0,"FILL OUT MILESTONE 2 QUESTIONNAIRE",Milestone_Results_Summary!K13)</f>
        <v>FILL OUT MILESTONE 2 QUESTIONNAIRE</v>
      </c>
      <c r="D13" s="1025"/>
      <c r="E13" s="1025"/>
      <c r="F13" s="1025"/>
      <c r="G13" s="1025"/>
      <c r="H13" s="1025"/>
      <c r="I13" s="1026"/>
      <c r="J13" s="1021" t="str">
        <f>IF(AE13=0,"FILL OUT MILESTONE 2 QUESTIONNAIRE",Milestone_Results_Summary!L13)</f>
        <v>FILL OUT MILESTONE 2 QUESTIONNAIRE</v>
      </c>
      <c r="K13" s="1022"/>
      <c r="L13" s="1022"/>
      <c r="M13" s="1022"/>
      <c r="N13" s="1023"/>
      <c r="O13" s="362"/>
      <c r="P13" s="10"/>
      <c r="Q13" s="10"/>
      <c r="R13" s="10"/>
      <c r="S13" s="10"/>
      <c r="T13" s="10"/>
      <c r="U13" s="10"/>
      <c r="V13" s="10"/>
      <c r="W13" s="10"/>
      <c r="X13" s="10"/>
      <c r="Y13" s="10"/>
      <c r="Z13" s="10"/>
      <c r="AA13" s="10"/>
      <c r="AB13" s="12"/>
      <c r="AD13" s="463" t="s">
        <v>734</v>
      </c>
      <c r="AE13" s="187">
        <f>IF(SUM(Milestone_2!AE7:AE49)=0,0,1)</f>
        <v>0</v>
      </c>
      <c r="AF13" s="103"/>
    </row>
    <row r="14" spans="1:35" ht="240" customHeight="1">
      <c r="A14" s="9"/>
      <c r="B14" s="460" t="s">
        <v>736</v>
      </c>
      <c r="C14" s="1024" t="str">
        <f>IF(AE14=0,"FILL OUT MILESTONE 3 QUESTIONNAIRE",Milestone_Results_Summary!K17)</f>
        <v>FILL OUT MILESTONE 3 QUESTIONNAIRE</v>
      </c>
      <c r="D14" s="1025"/>
      <c r="E14" s="1025"/>
      <c r="F14" s="1025"/>
      <c r="G14" s="1025"/>
      <c r="H14" s="1025"/>
      <c r="I14" s="1026"/>
      <c r="J14" s="1021" t="str">
        <f>IF(AE14=0,"FILL OUT MILESTONE 3 QUESTIONNAIRE",Milestone_Results_Summary!L17)</f>
        <v>FILL OUT MILESTONE 3 QUESTIONNAIRE</v>
      </c>
      <c r="K14" s="1022"/>
      <c r="L14" s="1022"/>
      <c r="M14" s="1022"/>
      <c r="N14" s="1023"/>
      <c r="O14" s="362"/>
      <c r="P14" s="10"/>
      <c r="Q14" s="10"/>
      <c r="R14" s="10"/>
      <c r="S14" s="10"/>
      <c r="T14" s="10"/>
      <c r="U14" s="10"/>
      <c r="V14" s="10"/>
      <c r="W14" s="10"/>
      <c r="X14" s="10"/>
      <c r="Y14" s="10"/>
      <c r="Z14" s="10"/>
      <c r="AA14" s="10"/>
      <c r="AB14" s="12"/>
      <c r="AD14" s="463" t="s">
        <v>736</v>
      </c>
      <c r="AE14" s="187">
        <f>IF(SUM(Milestone_3!AF7:AF111)=0,0,1)</f>
        <v>0</v>
      </c>
      <c r="AF14" s="103"/>
    </row>
    <row r="15" spans="1:35" ht="148.5" customHeight="1">
      <c r="A15" s="9"/>
      <c r="B15" s="460" t="s">
        <v>737</v>
      </c>
      <c r="C15" s="1024" t="str">
        <f>IF(AE15=0,"FILL OUT MILESTONE 4 QUESTIONNAIRE",Milestone_Results_Summary!K24)</f>
        <v>FILL OUT MILESTONE 4 QUESTIONNAIRE</v>
      </c>
      <c r="D15" s="1025"/>
      <c r="E15" s="1025"/>
      <c r="F15" s="1025"/>
      <c r="G15" s="1025"/>
      <c r="H15" s="1025"/>
      <c r="I15" s="1026"/>
      <c r="J15" s="1021" t="str">
        <f>IF(AE15=0,"FILL OUT MILESTONE 4 QUESTIONNAIRE",Milestone_Results_Summary!L24)</f>
        <v>FILL OUT MILESTONE 4 QUESTIONNAIRE</v>
      </c>
      <c r="K15" s="1022"/>
      <c r="L15" s="1022"/>
      <c r="M15" s="1022"/>
      <c r="N15" s="1023"/>
      <c r="O15" s="362"/>
      <c r="P15" s="10"/>
      <c r="Q15" s="10"/>
      <c r="R15" s="10"/>
      <c r="S15" s="10"/>
      <c r="T15" s="10"/>
      <c r="U15" s="10"/>
      <c r="V15" s="10"/>
      <c r="W15" s="10"/>
      <c r="X15" s="10"/>
      <c r="Y15" s="10"/>
      <c r="Z15" s="10"/>
      <c r="AA15" s="10"/>
      <c r="AB15" s="12"/>
      <c r="AD15" s="463" t="s">
        <v>737</v>
      </c>
      <c r="AE15" s="187">
        <f>IF(SUM(Milestone_4!AM8:AQ11,Milestone_4!AM14:AQ17,Milestone_4!AM19:AM83)=0,0,1)</f>
        <v>0</v>
      </c>
      <c r="AF15" s="103"/>
    </row>
    <row r="16" spans="1:35" ht="156" customHeight="1">
      <c r="A16" s="9"/>
      <c r="B16" s="460" t="s">
        <v>735</v>
      </c>
      <c r="C16" s="1024" t="str">
        <f>IF(AE16=0,"FILL OUT MILESTONE 5 QUESTIONNAIRE",Milestone_Results_Summary!K30)</f>
        <v>FILL OUT MILESTONE 5 QUESTIONNAIRE</v>
      </c>
      <c r="D16" s="1025"/>
      <c r="E16" s="1025"/>
      <c r="F16" s="1025"/>
      <c r="G16" s="1025"/>
      <c r="H16" s="1025"/>
      <c r="I16" s="1026"/>
      <c r="J16" s="1021" t="str">
        <f>IF(AE16=0,"FILL OUT MILESTONE 5 QUESTIONNAIRE",Milestone_Results_Summary!L30)</f>
        <v>FILL OUT MILESTONE 5 QUESTIONNAIRE</v>
      </c>
      <c r="K16" s="1022"/>
      <c r="L16" s="1022"/>
      <c r="M16" s="1022"/>
      <c r="N16" s="1023"/>
      <c r="O16" s="362"/>
      <c r="P16" s="10"/>
      <c r="Q16" s="10"/>
      <c r="R16" s="10"/>
      <c r="S16" s="10"/>
      <c r="T16" s="10"/>
      <c r="U16" s="10"/>
      <c r="V16" s="10"/>
      <c r="W16" s="10"/>
      <c r="X16" s="10"/>
      <c r="Y16" s="10"/>
      <c r="Z16" s="10"/>
      <c r="AA16" s="10"/>
      <c r="AB16" s="12"/>
      <c r="AD16" s="463" t="s">
        <v>735</v>
      </c>
      <c r="AE16" s="187">
        <f>IF(SUM(Milestone_5!AG7:AG124)=0,0,1)</f>
        <v>0</v>
      </c>
    </row>
    <row r="17" spans="1:31" ht="156.5" customHeight="1">
      <c r="A17" s="9"/>
      <c r="B17" s="367" t="s">
        <v>1070</v>
      </c>
      <c r="C17" s="1024" t="str">
        <f>IF(AE17=0,"FILL OUT MILESTONE 6: ONGOING IMPLEMENTATION QUESTIONNAIRE",Milestone_Results_Summary!K36)</f>
        <v>FILL OUT MILESTONE 6: ONGOING IMPLEMENTATION QUESTIONNAIRE</v>
      </c>
      <c r="D17" s="1025"/>
      <c r="E17" s="1025"/>
      <c r="F17" s="1025"/>
      <c r="G17" s="1025"/>
      <c r="H17" s="1025"/>
      <c r="I17" s="1026"/>
      <c r="J17" s="1021" t="str">
        <f>IF(AE17=0,"FILL OUT MILESTONE 6: ONGOING IMPLEMENTATION QUESTIONNAIRE",Milestone_Results_Summary!L36)</f>
        <v>FILL OUT MILESTONE 6: ONGOING IMPLEMENTATION QUESTIONNAIRE</v>
      </c>
      <c r="K17" s="1022"/>
      <c r="L17" s="1022"/>
      <c r="M17" s="1022"/>
      <c r="N17" s="1023"/>
      <c r="O17" s="362"/>
      <c r="P17" s="10"/>
      <c r="Q17" s="10"/>
      <c r="R17" s="10"/>
      <c r="S17" s="10"/>
      <c r="T17" s="10"/>
      <c r="U17" s="10"/>
      <c r="V17" s="10"/>
      <c r="W17" s="10"/>
      <c r="X17" s="10"/>
      <c r="Y17" s="10"/>
      <c r="Z17" s="10"/>
      <c r="AA17" s="10"/>
      <c r="AB17" s="12"/>
      <c r="AD17" s="463" t="s">
        <v>1064</v>
      </c>
      <c r="AE17" s="187">
        <f>IF(SUM(Ongoing_Implementation!AF7:AF47)=0,0,1)</f>
        <v>0</v>
      </c>
    </row>
    <row r="18" spans="1:31">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2"/>
    </row>
    <row r="19" spans="1:31">
      <c r="A19" s="9"/>
      <c r="B19" s="461" t="s">
        <v>869</v>
      </c>
      <c r="C19" s="986" t="s">
        <v>854</v>
      </c>
      <c r="D19" s="987"/>
      <c r="E19" s="987"/>
      <c r="F19" s="987"/>
      <c r="G19" s="987"/>
      <c r="H19" s="987"/>
      <c r="I19" s="988"/>
      <c r="J19" s="989" t="s">
        <v>762</v>
      </c>
      <c r="K19" s="990"/>
      <c r="L19" s="990"/>
      <c r="M19" s="990"/>
      <c r="N19" s="991"/>
      <c r="O19" s="344"/>
      <c r="P19" s="10"/>
      <c r="Q19" s="10"/>
      <c r="R19" s="10"/>
      <c r="S19" s="10"/>
      <c r="T19" s="10"/>
      <c r="U19" s="10"/>
      <c r="V19" s="10"/>
      <c r="W19" s="10"/>
      <c r="X19" s="10"/>
      <c r="Y19" s="10"/>
      <c r="Z19" s="10"/>
      <c r="AA19" s="10"/>
      <c r="AB19" s="12"/>
    </row>
    <row r="20" spans="1:31" ht="109.5" customHeight="1">
      <c r="A20" s="9"/>
      <c r="B20" s="460" t="s">
        <v>731</v>
      </c>
      <c r="C20" s="1027" t="str">
        <f>IF(AE12=0, "FILL OUT MILESTONE 1 QUESTIONNAIRE", Milestone_Results_Summary!G7)</f>
        <v>FILL OUT MILESTONE 1 QUESTIONNAIRE</v>
      </c>
      <c r="D20" s="1027"/>
      <c r="E20" s="1027"/>
      <c r="F20" s="1027"/>
      <c r="G20" s="1027"/>
      <c r="H20" s="1027"/>
      <c r="I20" s="1027"/>
      <c r="J20" s="1021" t="str">
        <f>IF(AE12=0, "FILL OUT MILESTONE 1 QUESTIONNAIRE", Milestone_Results_Summary!H7)</f>
        <v>FILL OUT MILESTONE 1 QUESTIONNAIRE</v>
      </c>
      <c r="K20" s="1022"/>
      <c r="L20" s="1022"/>
      <c r="M20" s="1022"/>
      <c r="N20" s="1023"/>
      <c r="O20" s="462"/>
      <c r="P20" s="10"/>
      <c r="Q20" s="10"/>
      <c r="R20" s="10"/>
      <c r="S20" s="10"/>
      <c r="T20" s="10"/>
      <c r="U20" s="10"/>
      <c r="V20" s="10"/>
      <c r="W20" s="10"/>
      <c r="X20" s="10"/>
      <c r="Y20" s="10"/>
      <c r="Z20" s="10"/>
      <c r="AA20" s="10"/>
      <c r="AB20" s="12"/>
    </row>
    <row r="21" spans="1:31" ht="109.5" customHeight="1">
      <c r="A21" s="9"/>
      <c r="B21" s="460" t="s">
        <v>734</v>
      </c>
      <c r="C21" s="1027" t="str">
        <f>IF(AE13=0,"FILL OUT MILESTONE 2 QUESTIONNAIRE",Milestone_Results_Summary!G13)</f>
        <v>FILL OUT MILESTONE 2 QUESTIONNAIRE</v>
      </c>
      <c r="D21" s="1027"/>
      <c r="E21" s="1027"/>
      <c r="F21" s="1027"/>
      <c r="G21" s="1027"/>
      <c r="H21" s="1027"/>
      <c r="I21" s="1027"/>
      <c r="J21" s="1028" t="str">
        <f>IF(AE13=0,"FILL OUT MILESTONE 2 QUESTIONNAIRE",Milestone_Results_Summary!H13)</f>
        <v>FILL OUT MILESTONE 2 QUESTIONNAIRE</v>
      </c>
      <c r="K21" s="1028"/>
      <c r="L21" s="1028"/>
      <c r="M21" s="1028"/>
      <c r="N21" s="1028"/>
      <c r="O21" s="462"/>
      <c r="P21" s="10"/>
      <c r="Q21" s="10"/>
      <c r="R21" s="10"/>
      <c r="S21" s="10"/>
      <c r="T21" s="10"/>
      <c r="U21" s="10"/>
      <c r="V21" s="10"/>
      <c r="W21" s="10"/>
      <c r="X21" s="10"/>
      <c r="Y21" s="10"/>
      <c r="Z21" s="10"/>
      <c r="AA21" s="10"/>
      <c r="AB21" s="12"/>
    </row>
    <row r="22" spans="1:31" ht="109.5" customHeight="1">
      <c r="A22" s="9"/>
      <c r="B22" s="460" t="s">
        <v>736</v>
      </c>
      <c r="C22" s="1027" t="str">
        <f>IF(AE14=0,"FILL OUT MILESTONE 3 QUESTIONNAIRE",Milestone_Results_Summary!G17)</f>
        <v>FILL OUT MILESTONE 3 QUESTIONNAIRE</v>
      </c>
      <c r="D22" s="1027"/>
      <c r="E22" s="1027"/>
      <c r="F22" s="1027"/>
      <c r="G22" s="1027"/>
      <c r="H22" s="1027"/>
      <c r="I22" s="1027"/>
      <c r="J22" s="1028" t="str">
        <f>IF(AE14=0,"FILL OUT MILESTONE 3 QUESTIONNAIRE",Milestone_Results_Summary!H17)</f>
        <v>FILL OUT MILESTONE 3 QUESTIONNAIRE</v>
      </c>
      <c r="K22" s="1028"/>
      <c r="L22" s="1028"/>
      <c r="M22" s="1028"/>
      <c r="N22" s="1028"/>
      <c r="O22" s="462"/>
      <c r="P22" s="10"/>
      <c r="Q22" s="10"/>
      <c r="R22" s="10"/>
      <c r="S22" s="10"/>
      <c r="T22" s="10"/>
      <c r="U22" s="10"/>
      <c r="V22" s="10"/>
      <c r="W22" s="10"/>
      <c r="X22" s="10"/>
      <c r="Y22" s="10"/>
      <c r="Z22" s="10"/>
      <c r="AA22" s="10"/>
      <c r="AB22" s="12"/>
    </row>
    <row r="23" spans="1:31" ht="109.5" customHeight="1">
      <c r="A23" s="9"/>
      <c r="B23" s="460" t="s">
        <v>737</v>
      </c>
      <c r="C23" s="1027" t="str">
        <f>IF(AE15=0,"FILL OUT MILESTONE 4 QUESTIONNAIRE",Milestone_Results_Summary!G24)</f>
        <v>FILL OUT MILESTONE 4 QUESTIONNAIRE</v>
      </c>
      <c r="D23" s="1027"/>
      <c r="E23" s="1027"/>
      <c r="F23" s="1027"/>
      <c r="G23" s="1027"/>
      <c r="H23" s="1027"/>
      <c r="I23" s="1027"/>
      <c r="J23" s="1028" t="str">
        <f>IF(AE15=0,"FILL OUT MILESTONE 4 QUESTIONNAIRE",Milestone_Results_Summary!H24)</f>
        <v>FILL OUT MILESTONE 4 QUESTIONNAIRE</v>
      </c>
      <c r="K23" s="1028"/>
      <c r="L23" s="1028"/>
      <c r="M23" s="1028"/>
      <c r="N23" s="1028"/>
      <c r="O23" s="462"/>
      <c r="P23" s="10"/>
      <c r="Q23" s="10"/>
      <c r="R23" s="10"/>
      <c r="S23" s="10"/>
      <c r="T23" s="10"/>
      <c r="U23" s="10"/>
      <c r="V23" s="10"/>
      <c r="W23" s="10"/>
      <c r="X23" s="10"/>
      <c r="Y23" s="10"/>
      <c r="Z23" s="10"/>
      <c r="AA23" s="10"/>
      <c r="AB23" s="12"/>
    </row>
    <row r="24" spans="1:31" ht="109.5" customHeight="1">
      <c r="A24" s="9"/>
      <c r="B24" s="460" t="s">
        <v>735</v>
      </c>
      <c r="C24" s="1027" t="str">
        <f>IF(AE16=0,"FILL OUT MILESTONE 5 QUESTIONNAIRE",Milestone_Results_Summary!G30)</f>
        <v>FILL OUT MILESTONE 5 QUESTIONNAIRE</v>
      </c>
      <c r="D24" s="1027"/>
      <c r="E24" s="1027"/>
      <c r="F24" s="1027"/>
      <c r="G24" s="1027"/>
      <c r="H24" s="1027"/>
      <c r="I24" s="1027"/>
      <c r="J24" s="1028" t="str">
        <f>IF(AE16=0,"FILL OUT MILESTONE 5 QUESTIONNAIRE",Milestone_Results_Summary!H30)</f>
        <v>FILL OUT MILESTONE 5 QUESTIONNAIRE</v>
      </c>
      <c r="K24" s="1028"/>
      <c r="L24" s="1028"/>
      <c r="M24" s="1028"/>
      <c r="N24" s="1028"/>
      <c r="O24" s="462"/>
      <c r="P24" s="10"/>
      <c r="Q24" s="10"/>
      <c r="R24" s="10"/>
      <c r="S24" s="10"/>
      <c r="T24" s="10"/>
      <c r="U24" s="10"/>
      <c r="V24" s="10"/>
      <c r="W24" s="10"/>
      <c r="X24" s="10"/>
      <c r="Y24" s="10"/>
      <c r="Z24" s="10"/>
      <c r="AA24" s="10"/>
      <c r="AB24" s="12"/>
    </row>
    <row r="25" spans="1:31" ht="109.5" customHeight="1">
      <c r="A25" s="9"/>
      <c r="B25" s="460" t="s">
        <v>1064</v>
      </c>
      <c r="C25" s="1027" t="str">
        <f>IF(AE17=0,"FILL OUT MILESTONE 6: ONGOING IMPLEMENTATION QUESTIONNAIRE",Milestone_Results_Summary!G36)</f>
        <v>FILL OUT MILESTONE 6: ONGOING IMPLEMENTATION QUESTIONNAIRE</v>
      </c>
      <c r="D25" s="1027"/>
      <c r="E25" s="1027"/>
      <c r="F25" s="1027"/>
      <c r="G25" s="1027"/>
      <c r="H25" s="1027"/>
      <c r="I25" s="1027"/>
      <c r="J25" s="1028" t="str">
        <f>IF(AE17=0,"FILL OUT MILESTONE 6: ONGOING IMPLEMENTATION QUESTIONNAIRE",Milestone_Results_Summary!H36)</f>
        <v>FILL OUT MILESTONE 6: ONGOING IMPLEMENTATION QUESTIONNAIRE</v>
      </c>
      <c r="K25" s="1028"/>
      <c r="L25" s="1028"/>
      <c r="M25" s="1028"/>
      <c r="N25" s="1028"/>
      <c r="O25" s="462"/>
      <c r="P25" s="10"/>
      <c r="Q25" s="10"/>
      <c r="R25" s="10"/>
      <c r="S25" s="10"/>
      <c r="T25" s="10"/>
      <c r="U25" s="10"/>
      <c r="V25" s="10"/>
      <c r="W25" s="10"/>
      <c r="X25" s="10"/>
      <c r="Y25" s="10"/>
      <c r="Z25" s="10"/>
      <c r="AA25" s="10"/>
      <c r="AB25" s="12"/>
    </row>
    <row r="26" spans="1:31">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2"/>
    </row>
    <row r="27" spans="1:31" s="291" customFormat="1" ht="20">
      <c r="A27" s="327"/>
      <c r="B27" s="992" t="s">
        <v>88</v>
      </c>
      <c r="C27" s="993"/>
      <c r="D27" s="993"/>
      <c r="E27" s="993"/>
      <c r="F27" s="993"/>
      <c r="G27" s="993"/>
      <c r="H27" s="993"/>
      <c r="I27" s="993"/>
      <c r="J27" s="993"/>
      <c r="K27" s="993"/>
      <c r="L27" s="993"/>
      <c r="M27" s="993"/>
      <c r="N27" s="993"/>
      <c r="O27" s="993"/>
      <c r="P27" s="994"/>
      <c r="Q27" s="342"/>
      <c r="R27" s="995" t="str">
        <f>Milestone_1!U142</f>
        <v>0/15</v>
      </c>
      <c r="S27" s="996"/>
      <c r="T27" s="342"/>
      <c r="U27" s="342"/>
      <c r="V27" s="342"/>
      <c r="W27" s="342"/>
      <c r="X27" s="342"/>
      <c r="Y27" s="342"/>
      <c r="Z27" s="342"/>
      <c r="AA27" s="342"/>
      <c r="AB27" s="328"/>
    </row>
    <row r="28" spans="1:31">
      <c r="A28" s="9"/>
      <c r="B28" s="287"/>
      <c r="C28" s="287"/>
      <c r="D28" s="287"/>
      <c r="E28" s="287"/>
      <c r="F28" s="287"/>
      <c r="G28" s="287"/>
      <c r="H28" s="64"/>
      <c r="I28" s="64"/>
      <c r="J28" s="10"/>
      <c r="K28" s="10"/>
      <c r="L28" s="10"/>
      <c r="M28" s="10"/>
      <c r="N28" s="10"/>
      <c r="O28" s="10"/>
      <c r="P28" s="10"/>
      <c r="Q28" s="10"/>
      <c r="R28" s="10"/>
      <c r="S28" s="10"/>
      <c r="T28" s="10"/>
      <c r="U28" s="10"/>
      <c r="V28" s="10"/>
      <c r="W28" s="10"/>
      <c r="X28" s="10"/>
      <c r="Y28" s="10"/>
      <c r="Z28" s="10"/>
      <c r="AA28" s="10"/>
      <c r="AB28" s="12"/>
    </row>
    <row r="29" spans="1:31" ht="15.5" customHeight="1">
      <c r="A29" s="9"/>
      <c r="B29" s="986" t="s">
        <v>1049</v>
      </c>
      <c r="C29" s="987"/>
      <c r="D29" s="987"/>
      <c r="E29" s="987"/>
      <c r="F29" s="987"/>
      <c r="G29" s="987"/>
      <c r="H29" s="988"/>
      <c r="I29" s="18"/>
      <c r="J29" s="989" t="s">
        <v>1050</v>
      </c>
      <c r="K29" s="990"/>
      <c r="L29" s="990"/>
      <c r="M29" s="990"/>
      <c r="N29" s="990"/>
      <c r="O29" s="990"/>
      <c r="P29" s="991"/>
      <c r="Q29" s="10"/>
      <c r="R29" s="10"/>
      <c r="S29" s="271"/>
      <c r="T29" s="10"/>
      <c r="U29" s="271"/>
      <c r="V29" s="271"/>
      <c r="W29" s="271"/>
      <c r="X29" s="271"/>
      <c r="Y29" s="271"/>
      <c r="Z29" s="271"/>
      <c r="AA29" s="271"/>
      <c r="AB29" s="12"/>
    </row>
    <row r="30" spans="1:31" ht="23.5" customHeight="1">
      <c r="A30" s="9"/>
      <c r="B30" s="974" t="str">
        <f>IF(AE12=0, "FILL OUT MILESTONE 1 QUESTIONNAIRE", Milestone_Results_Summary!I7)</f>
        <v>FILL OUT MILESTONE 1 QUESTIONNAIRE</v>
      </c>
      <c r="C30" s="975"/>
      <c r="D30" s="975"/>
      <c r="E30" s="975"/>
      <c r="F30" s="975"/>
      <c r="G30" s="975"/>
      <c r="H30" s="976"/>
      <c r="I30" s="24"/>
      <c r="J30" s="980" t="str">
        <f>IF(AE12=0, "FILL OUT MILESTONE 1 QUESTIONNAIRE",Milestone_Results_Summary!J7)</f>
        <v>FILL OUT MILESTONE 1 QUESTIONNAIRE</v>
      </c>
      <c r="K30" s="981"/>
      <c r="L30" s="981"/>
      <c r="M30" s="981"/>
      <c r="N30" s="981"/>
      <c r="O30" s="981"/>
      <c r="P30" s="982"/>
      <c r="Q30" s="10"/>
      <c r="R30" s="271"/>
      <c r="S30" s="271"/>
      <c r="T30" s="10"/>
      <c r="U30" s="271"/>
      <c r="V30" s="271"/>
      <c r="W30" s="271"/>
      <c r="X30" s="271"/>
      <c r="Y30" s="271"/>
      <c r="Z30" s="271"/>
      <c r="AA30" s="271"/>
      <c r="AB30" s="12"/>
    </row>
    <row r="31" spans="1:31" ht="23.5" customHeight="1">
      <c r="A31" s="9"/>
      <c r="B31" s="974"/>
      <c r="C31" s="975"/>
      <c r="D31" s="975"/>
      <c r="E31" s="975"/>
      <c r="F31" s="975"/>
      <c r="G31" s="975"/>
      <c r="H31" s="976"/>
      <c r="I31" s="24"/>
      <c r="J31" s="980"/>
      <c r="K31" s="981"/>
      <c r="L31" s="981"/>
      <c r="M31" s="981"/>
      <c r="N31" s="981"/>
      <c r="O31" s="981"/>
      <c r="P31" s="982"/>
      <c r="Q31" s="10"/>
      <c r="R31" s="271"/>
      <c r="S31" s="271"/>
      <c r="T31" s="10"/>
      <c r="U31" s="271"/>
      <c r="V31" s="271"/>
      <c r="W31" s="271"/>
      <c r="X31" s="271"/>
      <c r="Y31" s="271"/>
      <c r="Z31" s="271"/>
      <c r="AA31" s="271"/>
      <c r="AB31" s="12"/>
    </row>
    <row r="32" spans="1:31" ht="23.5" customHeight="1">
      <c r="A32" s="9"/>
      <c r="B32" s="974"/>
      <c r="C32" s="975"/>
      <c r="D32" s="975"/>
      <c r="E32" s="975"/>
      <c r="F32" s="975"/>
      <c r="G32" s="975"/>
      <c r="H32" s="976"/>
      <c r="I32" s="24"/>
      <c r="J32" s="980"/>
      <c r="K32" s="981"/>
      <c r="L32" s="981"/>
      <c r="M32" s="981"/>
      <c r="N32" s="981"/>
      <c r="O32" s="981"/>
      <c r="P32" s="982"/>
      <c r="Q32" s="10"/>
      <c r="R32" s="271"/>
      <c r="S32" s="271"/>
      <c r="T32" s="10"/>
      <c r="U32" s="271"/>
      <c r="V32" s="271"/>
      <c r="W32" s="271"/>
      <c r="X32" s="271"/>
      <c r="Y32" s="271"/>
      <c r="Z32" s="271"/>
      <c r="AA32" s="271"/>
      <c r="AB32" s="12"/>
    </row>
    <row r="33" spans="1:28" ht="23.5" customHeight="1">
      <c r="A33" s="9"/>
      <c r="B33" s="974"/>
      <c r="C33" s="975"/>
      <c r="D33" s="975"/>
      <c r="E33" s="975"/>
      <c r="F33" s="975"/>
      <c r="G33" s="975"/>
      <c r="H33" s="976"/>
      <c r="I33" s="24"/>
      <c r="J33" s="980"/>
      <c r="K33" s="981"/>
      <c r="L33" s="981"/>
      <c r="M33" s="981"/>
      <c r="N33" s="981"/>
      <c r="O33" s="981"/>
      <c r="P33" s="982"/>
      <c r="Q33" s="10"/>
      <c r="R33" s="271"/>
      <c r="S33" s="271"/>
      <c r="T33" s="10"/>
      <c r="U33" s="271"/>
      <c r="V33" s="271"/>
      <c r="W33" s="271"/>
      <c r="X33" s="271"/>
      <c r="Y33" s="271"/>
      <c r="Z33" s="271"/>
      <c r="AA33" s="271"/>
      <c r="AB33" s="12"/>
    </row>
    <row r="34" spans="1:28" ht="23.5" customHeight="1">
      <c r="A34" s="9"/>
      <c r="B34" s="974"/>
      <c r="C34" s="975"/>
      <c r="D34" s="975"/>
      <c r="E34" s="975"/>
      <c r="F34" s="975"/>
      <c r="G34" s="975"/>
      <c r="H34" s="976"/>
      <c r="I34" s="24"/>
      <c r="J34" s="980"/>
      <c r="K34" s="981"/>
      <c r="L34" s="981"/>
      <c r="M34" s="981"/>
      <c r="N34" s="981"/>
      <c r="O34" s="981"/>
      <c r="P34" s="982"/>
      <c r="Q34" s="10"/>
      <c r="R34" s="271"/>
      <c r="S34" s="271"/>
      <c r="T34" s="10"/>
      <c r="U34" s="10"/>
      <c r="V34" s="10"/>
      <c r="W34" s="10"/>
      <c r="X34" s="10"/>
      <c r="Y34" s="10"/>
      <c r="Z34" s="10"/>
      <c r="AA34" s="10"/>
      <c r="AB34" s="12"/>
    </row>
    <row r="35" spans="1:28" ht="23.5" customHeight="1">
      <c r="A35" s="9"/>
      <c r="B35" s="974"/>
      <c r="C35" s="975"/>
      <c r="D35" s="975"/>
      <c r="E35" s="975"/>
      <c r="F35" s="975"/>
      <c r="G35" s="975"/>
      <c r="H35" s="976"/>
      <c r="I35" s="24"/>
      <c r="J35" s="980"/>
      <c r="K35" s="981"/>
      <c r="L35" s="981"/>
      <c r="M35" s="981"/>
      <c r="N35" s="981"/>
      <c r="O35" s="981"/>
      <c r="P35" s="982"/>
      <c r="Q35" s="10"/>
      <c r="R35" s="271"/>
      <c r="S35" s="271"/>
      <c r="T35" s="10"/>
      <c r="U35" s="10"/>
      <c r="V35" s="10"/>
      <c r="W35" s="10"/>
      <c r="X35" s="10"/>
      <c r="Y35" s="10"/>
      <c r="Z35" s="10"/>
      <c r="AA35" s="10"/>
      <c r="AB35" s="12"/>
    </row>
    <row r="36" spans="1:28" ht="23.5" customHeight="1">
      <c r="A36" s="9"/>
      <c r="B36" s="974"/>
      <c r="C36" s="975"/>
      <c r="D36" s="975"/>
      <c r="E36" s="975"/>
      <c r="F36" s="975"/>
      <c r="G36" s="975"/>
      <c r="H36" s="976"/>
      <c r="I36" s="24"/>
      <c r="J36" s="980"/>
      <c r="K36" s="981"/>
      <c r="L36" s="981"/>
      <c r="M36" s="981"/>
      <c r="N36" s="981"/>
      <c r="O36" s="981"/>
      <c r="P36" s="982"/>
      <c r="Q36" s="10"/>
      <c r="R36" s="271"/>
      <c r="S36" s="271"/>
      <c r="T36" s="10"/>
      <c r="U36" s="10"/>
      <c r="V36" s="10"/>
      <c r="W36" s="10"/>
      <c r="X36" s="10"/>
      <c r="Y36" s="10"/>
      <c r="Z36" s="10"/>
      <c r="AA36" s="10"/>
      <c r="AB36" s="12"/>
    </row>
    <row r="37" spans="1:28" ht="23.5" customHeight="1">
      <c r="A37" s="9"/>
      <c r="B37" s="974"/>
      <c r="C37" s="975"/>
      <c r="D37" s="975"/>
      <c r="E37" s="975"/>
      <c r="F37" s="975"/>
      <c r="G37" s="975"/>
      <c r="H37" s="976"/>
      <c r="I37" s="24"/>
      <c r="J37" s="980"/>
      <c r="K37" s="981"/>
      <c r="L37" s="981"/>
      <c r="M37" s="981"/>
      <c r="N37" s="981"/>
      <c r="O37" s="981"/>
      <c r="P37" s="982"/>
      <c r="Q37" s="10"/>
      <c r="R37" s="271"/>
      <c r="S37" s="271"/>
      <c r="T37" s="10"/>
      <c r="U37" s="10"/>
      <c r="V37" s="10"/>
      <c r="W37" s="10"/>
      <c r="X37" s="10"/>
      <c r="Y37" s="10"/>
      <c r="Z37" s="10"/>
      <c r="AA37" s="10"/>
      <c r="AB37" s="12"/>
    </row>
    <row r="38" spans="1:28" ht="23.5" customHeight="1">
      <c r="A38" s="9"/>
      <c r="B38" s="974"/>
      <c r="C38" s="975"/>
      <c r="D38" s="975"/>
      <c r="E38" s="975"/>
      <c r="F38" s="975"/>
      <c r="G38" s="975"/>
      <c r="H38" s="976"/>
      <c r="I38" s="24"/>
      <c r="J38" s="980"/>
      <c r="K38" s="981"/>
      <c r="L38" s="981"/>
      <c r="M38" s="981"/>
      <c r="N38" s="981"/>
      <c r="O38" s="981"/>
      <c r="P38" s="982"/>
      <c r="Q38" s="10"/>
      <c r="R38" s="1012"/>
      <c r="S38" s="1012"/>
      <c r="T38" s="1012"/>
      <c r="U38" s="1012"/>
      <c r="V38" s="1012"/>
      <c r="W38" s="1012"/>
      <c r="X38" s="1012"/>
      <c r="Y38" s="1012"/>
      <c r="Z38" s="1012"/>
      <c r="AA38" s="1012"/>
      <c r="AB38" s="12"/>
    </row>
    <row r="39" spans="1:28" ht="23.5" customHeight="1">
      <c r="A39" s="9"/>
      <c r="B39" s="974"/>
      <c r="C39" s="975"/>
      <c r="D39" s="975"/>
      <c r="E39" s="975"/>
      <c r="F39" s="975"/>
      <c r="G39" s="975"/>
      <c r="H39" s="976"/>
      <c r="I39" s="24"/>
      <c r="J39" s="980"/>
      <c r="K39" s="981"/>
      <c r="L39" s="981"/>
      <c r="M39" s="981"/>
      <c r="N39" s="981"/>
      <c r="O39" s="981"/>
      <c r="P39" s="982"/>
      <c r="Q39" s="10"/>
      <c r="R39" s="392"/>
      <c r="S39" s="271"/>
      <c r="T39" s="271"/>
      <c r="U39" s="271"/>
      <c r="V39" s="271"/>
      <c r="W39" s="271"/>
      <c r="X39" s="271"/>
      <c r="Y39" s="271"/>
      <c r="Z39" s="271"/>
      <c r="AA39" s="271"/>
      <c r="AB39" s="12"/>
    </row>
    <row r="40" spans="1:28" ht="23.5" customHeight="1">
      <c r="A40" s="9"/>
      <c r="B40" s="974"/>
      <c r="C40" s="975"/>
      <c r="D40" s="975"/>
      <c r="E40" s="975"/>
      <c r="F40" s="975"/>
      <c r="G40" s="975"/>
      <c r="H40" s="976"/>
      <c r="I40" s="24"/>
      <c r="J40" s="980"/>
      <c r="K40" s="981"/>
      <c r="L40" s="981"/>
      <c r="M40" s="981"/>
      <c r="N40" s="981"/>
      <c r="O40" s="981"/>
      <c r="P40" s="982"/>
      <c r="Q40" s="10"/>
      <c r="R40" s="392"/>
      <c r="S40" s="271"/>
      <c r="T40" s="271"/>
      <c r="U40" s="271"/>
      <c r="V40" s="271"/>
      <c r="W40" s="271"/>
      <c r="X40" s="271"/>
      <c r="Y40" s="271"/>
      <c r="Z40" s="271"/>
      <c r="AA40" s="271"/>
      <c r="AB40" s="12"/>
    </row>
    <row r="41" spans="1:28" ht="23.5" customHeight="1">
      <c r="A41" s="9"/>
      <c r="B41" s="974"/>
      <c r="C41" s="975"/>
      <c r="D41" s="975"/>
      <c r="E41" s="975"/>
      <c r="F41" s="975"/>
      <c r="G41" s="975"/>
      <c r="H41" s="976"/>
      <c r="I41" s="24"/>
      <c r="J41" s="980"/>
      <c r="K41" s="981"/>
      <c r="L41" s="981"/>
      <c r="M41" s="981"/>
      <c r="N41" s="981"/>
      <c r="O41" s="981"/>
      <c r="P41" s="982"/>
      <c r="Q41" s="10"/>
      <c r="R41" s="271"/>
      <c r="S41" s="271"/>
      <c r="T41" s="271"/>
      <c r="U41" s="271"/>
      <c r="V41" s="271"/>
      <c r="W41" s="271"/>
      <c r="X41" s="271"/>
      <c r="Y41" s="271"/>
      <c r="Z41" s="271"/>
      <c r="AA41" s="271"/>
      <c r="AB41" s="12"/>
    </row>
    <row r="42" spans="1:28" ht="23.5" customHeight="1">
      <c r="A42" s="9"/>
      <c r="B42" s="977"/>
      <c r="C42" s="978"/>
      <c r="D42" s="978"/>
      <c r="E42" s="978"/>
      <c r="F42" s="978"/>
      <c r="G42" s="978"/>
      <c r="H42" s="979"/>
      <c r="I42" s="24"/>
      <c r="J42" s="983"/>
      <c r="K42" s="984"/>
      <c r="L42" s="984"/>
      <c r="M42" s="984"/>
      <c r="N42" s="984"/>
      <c r="O42" s="984"/>
      <c r="P42" s="985"/>
      <c r="Q42" s="10"/>
      <c r="R42" s="271"/>
      <c r="S42" s="271"/>
      <c r="T42" s="271"/>
      <c r="U42" s="271"/>
      <c r="V42" s="271"/>
      <c r="W42" s="271"/>
      <c r="X42" s="271"/>
      <c r="Y42" s="271"/>
      <c r="Z42" s="271"/>
      <c r="AA42" s="271"/>
      <c r="AB42" s="12"/>
    </row>
    <row r="43" spans="1:28">
      <c r="A43" s="9"/>
      <c r="B43" s="62"/>
      <c r="C43" s="62"/>
      <c r="D43" s="62"/>
      <c r="E43" s="62"/>
      <c r="F43" s="62"/>
      <c r="G43" s="62"/>
      <c r="H43" s="10"/>
      <c r="I43" s="10"/>
      <c r="J43" s="10"/>
      <c r="K43" s="10"/>
      <c r="L43" s="10"/>
      <c r="M43" s="10"/>
      <c r="N43" s="10"/>
      <c r="O43" s="10"/>
      <c r="P43" s="10"/>
      <c r="Q43" s="10"/>
      <c r="R43" s="10"/>
      <c r="S43" s="10"/>
      <c r="T43" s="10"/>
      <c r="U43" s="10"/>
      <c r="V43" s="10"/>
      <c r="W43" s="10"/>
      <c r="X43" s="10"/>
      <c r="Y43" s="10"/>
      <c r="Z43" s="10"/>
      <c r="AA43" s="10"/>
      <c r="AB43" s="12"/>
    </row>
    <row r="44" spans="1:28" ht="20">
      <c r="A44" s="9"/>
      <c r="B44" s="992" t="s">
        <v>54</v>
      </c>
      <c r="C44" s="993"/>
      <c r="D44" s="993"/>
      <c r="E44" s="993"/>
      <c r="F44" s="993"/>
      <c r="G44" s="993"/>
      <c r="H44" s="993"/>
      <c r="I44" s="993"/>
      <c r="J44" s="993"/>
      <c r="K44" s="993"/>
      <c r="L44" s="993"/>
      <c r="M44" s="993"/>
      <c r="N44" s="993"/>
      <c r="O44" s="993"/>
      <c r="P44" s="994"/>
      <c r="Q44" s="10"/>
      <c r="R44" s="1002" t="str">
        <f>Milestone_2!R51</f>
        <v>0/15</v>
      </c>
      <c r="S44" s="996"/>
      <c r="T44" s="10"/>
      <c r="U44" s="10"/>
      <c r="V44" s="10"/>
      <c r="W44" s="10"/>
      <c r="X44" s="10"/>
      <c r="Y44" s="10"/>
      <c r="Z44" s="10"/>
      <c r="AA44" s="10"/>
      <c r="AB44" s="12"/>
    </row>
    <row r="45" spans="1:28">
      <c r="A45" s="9"/>
      <c r="B45" s="287"/>
      <c r="C45" s="287"/>
      <c r="D45" s="287"/>
      <c r="E45" s="287"/>
      <c r="F45" s="287"/>
      <c r="G45" s="287"/>
      <c r="H45" s="64"/>
      <c r="I45" s="64"/>
      <c r="J45" s="10"/>
      <c r="K45" s="10"/>
      <c r="L45" s="10"/>
      <c r="M45" s="10"/>
      <c r="N45" s="10"/>
      <c r="O45" s="10"/>
      <c r="P45" s="10"/>
      <c r="Q45" s="10"/>
      <c r="R45" s="10"/>
      <c r="S45" s="10"/>
      <c r="T45" s="10"/>
      <c r="U45" s="10"/>
      <c r="V45" s="10"/>
      <c r="W45" s="10"/>
      <c r="X45" s="10"/>
      <c r="Y45" s="10"/>
      <c r="Z45" s="10"/>
      <c r="AA45" s="10"/>
      <c r="AB45" s="12"/>
    </row>
    <row r="46" spans="1:28">
      <c r="A46" s="9"/>
      <c r="B46" s="986" t="s">
        <v>1049</v>
      </c>
      <c r="C46" s="987"/>
      <c r="D46" s="987"/>
      <c r="E46" s="987"/>
      <c r="F46" s="987"/>
      <c r="G46" s="987"/>
      <c r="H46" s="988"/>
      <c r="I46" s="64"/>
      <c r="J46" s="989" t="s">
        <v>1050</v>
      </c>
      <c r="K46" s="990"/>
      <c r="L46" s="990"/>
      <c r="M46" s="990"/>
      <c r="N46" s="990"/>
      <c r="O46" s="990"/>
      <c r="P46" s="991"/>
      <c r="Q46" s="10"/>
      <c r="R46" s="10"/>
      <c r="S46" s="271"/>
      <c r="T46" s="10"/>
      <c r="U46" s="271"/>
      <c r="V46" s="271"/>
      <c r="W46" s="271"/>
      <c r="X46" s="271"/>
      <c r="Y46" s="271"/>
      <c r="Z46" s="271"/>
      <c r="AA46" s="271"/>
      <c r="AB46" s="12"/>
    </row>
    <row r="47" spans="1:28" ht="37" customHeight="1">
      <c r="A47" s="9"/>
      <c r="B47" s="974" t="str">
        <f>IF(AE13=0,"FILL OUT MILESTONE 2 QUESTIONNAIRE",Milestone_Results_Summary!I13)</f>
        <v>FILL OUT MILESTONE 2 QUESTIONNAIRE</v>
      </c>
      <c r="C47" s="975"/>
      <c r="D47" s="975"/>
      <c r="E47" s="975"/>
      <c r="F47" s="975"/>
      <c r="G47" s="975"/>
      <c r="H47" s="976"/>
      <c r="I47" s="11"/>
      <c r="J47" s="980" t="str">
        <f>IF(AE13=0,"FILL OUT MILESTONE 2 QUESTIONNAIRE",Milestone_Results_Summary!J13)</f>
        <v>FILL OUT MILESTONE 2 QUESTIONNAIRE</v>
      </c>
      <c r="K47" s="981"/>
      <c r="L47" s="981"/>
      <c r="M47" s="981"/>
      <c r="N47" s="981"/>
      <c r="O47" s="981"/>
      <c r="P47" s="982"/>
      <c r="Q47" s="10"/>
      <c r="R47" s="271"/>
      <c r="S47" s="271"/>
      <c r="T47" s="10"/>
      <c r="U47" s="271"/>
      <c r="V47" s="271"/>
      <c r="W47" s="271"/>
      <c r="X47" s="271"/>
      <c r="Y47" s="271"/>
      <c r="Z47" s="271"/>
      <c r="AA47" s="271"/>
      <c r="AB47" s="12"/>
    </row>
    <row r="48" spans="1:28" ht="23.5" customHeight="1">
      <c r="A48" s="9"/>
      <c r="B48" s="974"/>
      <c r="C48" s="975"/>
      <c r="D48" s="975"/>
      <c r="E48" s="975"/>
      <c r="F48" s="975"/>
      <c r="G48" s="975"/>
      <c r="H48" s="976"/>
      <c r="I48" s="11"/>
      <c r="J48" s="980"/>
      <c r="K48" s="981"/>
      <c r="L48" s="981"/>
      <c r="M48" s="981"/>
      <c r="N48" s="981"/>
      <c r="O48" s="981"/>
      <c r="P48" s="982"/>
      <c r="Q48" s="10"/>
      <c r="R48" s="271"/>
      <c r="S48" s="271"/>
      <c r="T48" s="10"/>
      <c r="U48" s="271"/>
      <c r="V48" s="271"/>
      <c r="W48" s="271"/>
      <c r="X48" s="271"/>
      <c r="Y48" s="271"/>
      <c r="Z48" s="271"/>
      <c r="AA48" s="271"/>
      <c r="AB48" s="12"/>
    </row>
    <row r="49" spans="1:28" ht="23.5" customHeight="1">
      <c r="A49" s="9"/>
      <c r="B49" s="974"/>
      <c r="C49" s="975"/>
      <c r="D49" s="975"/>
      <c r="E49" s="975"/>
      <c r="F49" s="975"/>
      <c r="G49" s="975"/>
      <c r="H49" s="976"/>
      <c r="I49" s="11"/>
      <c r="J49" s="980"/>
      <c r="K49" s="981"/>
      <c r="L49" s="981"/>
      <c r="M49" s="981"/>
      <c r="N49" s="981"/>
      <c r="O49" s="981"/>
      <c r="P49" s="982"/>
      <c r="Q49" s="10"/>
      <c r="R49" s="271"/>
      <c r="S49" s="271"/>
      <c r="T49" s="10"/>
      <c r="U49" s="271"/>
      <c r="V49" s="271"/>
      <c r="W49" s="271"/>
      <c r="X49" s="271"/>
      <c r="Y49" s="271"/>
      <c r="Z49" s="271"/>
      <c r="AA49" s="271"/>
      <c r="AB49" s="12"/>
    </row>
    <row r="50" spans="1:28" ht="23.5" customHeight="1">
      <c r="A50" s="9"/>
      <c r="B50" s="974"/>
      <c r="C50" s="975"/>
      <c r="D50" s="975"/>
      <c r="E50" s="975"/>
      <c r="F50" s="975"/>
      <c r="G50" s="975"/>
      <c r="H50" s="976"/>
      <c r="I50" s="11"/>
      <c r="J50" s="980"/>
      <c r="K50" s="981"/>
      <c r="L50" s="981"/>
      <c r="M50" s="981"/>
      <c r="N50" s="981"/>
      <c r="O50" s="981"/>
      <c r="P50" s="982"/>
      <c r="Q50" s="10"/>
      <c r="R50" s="271"/>
      <c r="S50" s="271"/>
      <c r="T50" s="10"/>
      <c r="U50" s="271"/>
      <c r="V50" s="271"/>
      <c r="W50" s="271"/>
      <c r="X50" s="271"/>
      <c r="Y50" s="271"/>
      <c r="Z50" s="271"/>
      <c r="AA50" s="271"/>
      <c r="AB50" s="12"/>
    </row>
    <row r="51" spans="1:28" ht="23.5" customHeight="1">
      <c r="A51" s="9"/>
      <c r="B51" s="974"/>
      <c r="C51" s="975"/>
      <c r="D51" s="975"/>
      <c r="E51" s="975"/>
      <c r="F51" s="975"/>
      <c r="G51" s="975"/>
      <c r="H51" s="976"/>
      <c r="I51" s="11"/>
      <c r="J51" s="980"/>
      <c r="K51" s="981"/>
      <c r="L51" s="981"/>
      <c r="M51" s="981"/>
      <c r="N51" s="981"/>
      <c r="O51" s="981"/>
      <c r="P51" s="982"/>
      <c r="Q51" s="10"/>
      <c r="R51" s="271"/>
      <c r="S51" s="271"/>
      <c r="T51" s="10"/>
      <c r="U51" s="10"/>
      <c r="V51" s="10"/>
      <c r="W51" s="10"/>
      <c r="X51" s="10"/>
      <c r="Y51" s="10"/>
      <c r="Z51" s="10"/>
      <c r="AA51" s="10"/>
      <c r="AB51" s="12"/>
    </row>
    <row r="52" spans="1:28" ht="23.5" customHeight="1">
      <c r="A52" s="9"/>
      <c r="B52" s="974"/>
      <c r="C52" s="975"/>
      <c r="D52" s="975"/>
      <c r="E52" s="975"/>
      <c r="F52" s="975"/>
      <c r="G52" s="975"/>
      <c r="H52" s="976"/>
      <c r="I52" s="11"/>
      <c r="J52" s="980"/>
      <c r="K52" s="981"/>
      <c r="L52" s="981"/>
      <c r="M52" s="981"/>
      <c r="N52" s="981"/>
      <c r="O52" s="981"/>
      <c r="P52" s="982"/>
      <c r="Q52" s="10"/>
      <c r="R52" s="271"/>
      <c r="S52" s="271"/>
      <c r="T52" s="10"/>
      <c r="U52" s="10"/>
      <c r="V52" s="10"/>
      <c r="W52" s="10"/>
      <c r="X52" s="10"/>
      <c r="Y52" s="10"/>
      <c r="Z52" s="10"/>
      <c r="AA52" s="10"/>
      <c r="AB52" s="12"/>
    </row>
    <row r="53" spans="1:28" ht="23.5" customHeight="1">
      <c r="A53" s="9"/>
      <c r="B53" s="974"/>
      <c r="C53" s="975"/>
      <c r="D53" s="975"/>
      <c r="E53" s="975"/>
      <c r="F53" s="975"/>
      <c r="G53" s="975"/>
      <c r="H53" s="976"/>
      <c r="I53" s="11"/>
      <c r="J53" s="980"/>
      <c r="K53" s="981"/>
      <c r="L53" s="981"/>
      <c r="M53" s="981"/>
      <c r="N53" s="981"/>
      <c r="O53" s="981"/>
      <c r="P53" s="982"/>
      <c r="Q53" s="10"/>
      <c r="R53" s="271"/>
      <c r="S53" s="271"/>
      <c r="T53" s="10"/>
      <c r="U53" s="10"/>
      <c r="V53" s="10"/>
      <c r="W53" s="10"/>
      <c r="X53" s="10"/>
      <c r="Y53" s="10"/>
      <c r="Z53" s="10"/>
      <c r="AA53" s="10"/>
      <c r="AB53" s="12"/>
    </row>
    <row r="54" spans="1:28" ht="23.5" customHeight="1">
      <c r="A54" s="9"/>
      <c r="B54" s="974"/>
      <c r="C54" s="975"/>
      <c r="D54" s="975"/>
      <c r="E54" s="975"/>
      <c r="F54" s="975"/>
      <c r="G54" s="975"/>
      <c r="H54" s="976"/>
      <c r="I54" s="11"/>
      <c r="J54" s="980"/>
      <c r="K54" s="981"/>
      <c r="L54" s="981"/>
      <c r="M54" s="981"/>
      <c r="N54" s="981"/>
      <c r="O54" s="981"/>
      <c r="P54" s="982"/>
      <c r="Q54" s="10"/>
      <c r="R54" s="271"/>
      <c r="S54" s="271"/>
      <c r="T54" s="10"/>
      <c r="U54" s="10"/>
      <c r="V54" s="10"/>
      <c r="W54" s="10"/>
      <c r="X54" s="10"/>
      <c r="Y54" s="10"/>
      <c r="Z54" s="10"/>
      <c r="AA54" s="10"/>
      <c r="AB54" s="12"/>
    </row>
    <row r="55" spans="1:28" ht="23.5" customHeight="1">
      <c r="A55" s="9"/>
      <c r="B55" s="974"/>
      <c r="C55" s="975"/>
      <c r="D55" s="975"/>
      <c r="E55" s="975"/>
      <c r="F55" s="975"/>
      <c r="G55" s="975"/>
      <c r="H55" s="976"/>
      <c r="I55" s="11"/>
      <c r="J55" s="980"/>
      <c r="K55" s="981"/>
      <c r="L55" s="981"/>
      <c r="M55" s="981"/>
      <c r="N55" s="981"/>
      <c r="O55" s="981"/>
      <c r="P55" s="982"/>
      <c r="Q55" s="10"/>
      <c r="R55" s="271"/>
      <c r="S55" s="271"/>
      <c r="T55" s="10"/>
      <c r="U55" s="10"/>
      <c r="V55" s="10"/>
      <c r="W55" s="10"/>
      <c r="X55" s="10"/>
      <c r="Y55" s="10"/>
      <c r="Z55" s="10"/>
      <c r="AA55" s="10"/>
      <c r="AB55" s="12"/>
    </row>
    <row r="56" spans="1:28" ht="23.5" customHeight="1">
      <c r="A56" s="9"/>
      <c r="B56" s="974"/>
      <c r="C56" s="975"/>
      <c r="D56" s="975"/>
      <c r="E56" s="975"/>
      <c r="F56" s="975"/>
      <c r="G56" s="975"/>
      <c r="H56" s="976"/>
      <c r="I56" s="11"/>
      <c r="J56" s="980"/>
      <c r="K56" s="981"/>
      <c r="L56" s="981"/>
      <c r="M56" s="981"/>
      <c r="N56" s="981"/>
      <c r="O56" s="981"/>
      <c r="P56" s="982"/>
      <c r="Q56" s="10"/>
      <c r="R56" s="10"/>
      <c r="S56" s="271"/>
      <c r="T56" s="271"/>
      <c r="U56" s="271"/>
      <c r="V56" s="271"/>
      <c r="W56" s="271"/>
      <c r="X56" s="271"/>
      <c r="Y56" s="271"/>
      <c r="Z56" s="271"/>
      <c r="AA56" s="271"/>
      <c r="AB56" s="12"/>
    </row>
    <row r="57" spans="1:28" ht="23.5" customHeight="1">
      <c r="A57" s="9"/>
      <c r="B57" s="974"/>
      <c r="C57" s="975"/>
      <c r="D57" s="975"/>
      <c r="E57" s="975"/>
      <c r="F57" s="975"/>
      <c r="G57" s="975"/>
      <c r="H57" s="976"/>
      <c r="I57" s="11"/>
      <c r="J57" s="980"/>
      <c r="K57" s="981"/>
      <c r="L57" s="981"/>
      <c r="M57" s="981"/>
      <c r="N57" s="981"/>
      <c r="O57" s="981"/>
      <c r="P57" s="982"/>
      <c r="Q57" s="10"/>
      <c r="R57" s="271"/>
      <c r="S57" s="271"/>
      <c r="T57" s="271"/>
      <c r="U57" s="271"/>
      <c r="V57" s="271"/>
      <c r="W57" s="271"/>
      <c r="X57" s="271"/>
      <c r="Y57" s="271"/>
      <c r="Z57" s="271"/>
      <c r="AA57" s="271"/>
      <c r="AB57" s="12"/>
    </row>
    <row r="58" spans="1:28" ht="23.5" customHeight="1">
      <c r="A58" s="9"/>
      <c r="B58" s="974"/>
      <c r="C58" s="975"/>
      <c r="D58" s="975"/>
      <c r="E58" s="975"/>
      <c r="F58" s="975"/>
      <c r="G58" s="975"/>
      <c r="H58" s="976"/>
      <c r="I58" s="11"/>
      <c r="J58" s="980"/>
      <c r="K58" s="981"/>
      <c r="L58" s="981"/>
      <c r="M58" s="981"/>
      <c r="N58" s="981"/>
      <c r="O58" s="981"/>
      <c r="P58" s="982"/>
      <c r="Q58" s="10"/>
      <c r="R58" s="271"/>
      <c r="S58" s="271"/>
      <c r="T58" s="271"/>
      <c r="U58" s="271"/>
      <c r="V58" s="271"/>
      <c r="W58" s="271"/>
      <c r="X58" s="271"/>
      <c r="Y58" s="271"/>
      <c r="Z58" s="271"/>
      <c r="AA58" s="271"/>
      <c r="AB58" s="12"/>
    </row>
    <row r="59" spans="1:28" ht="23.5" customHeight="1">
      <c r="A59" s="9"/>
      <c r="B59" s="977"/>
      <c r="C59" s="978"/>
      <c r="D59" s="978"/>
      <c r="E59" s="978"/>
      <c r="F59" s="978"/>
      <c r="G59" s="978"/>
      <c r="H59" s="979"/>
      <c r="I59" s="11"/>
      <c r="J59" s="983"/>
      <c r="K59" s="984"/>
      <c r="L59" s="984"/>
      <c r="M59" s="984"/>
      <c r="N59" s="984"/>
      <c r="O59" s="984"/>
      <c r="P59" s="985"/>
      <c r="Q59" s="10"/>
      <c r="R59" s="271"/>
      <c r="S59" s="271"/>
      <c r="T59" s="271"/>
      <c r="U59" s="271"/>
      <c r="V59" s="271"/>
      <c r="W59" s="271"/>
      <c r="X59" s="271"/>
      <c r="Y59" s="271"/>
      <c r="Z59" s="271"/>
      <c r="AA59" s="271"/>
      <c r="AB59" s="12"/>
    </row>
    <row r="60" spans="1:28">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2"/>
    </row>
    <row r="61" spans="1:28" ht="20">
      <c r="A61" s="9"/>
      <c r="B61" s="992" t="s">
        <v>647</v>
      </c>
      <c r="C61" s="993"/>
      <c r="D61" s="993"/>
      <c r="E61" s="993"/>
      <c r="F61" s="993"/>
      <c r="G61" s="993"/>
      <c r="H61" s="993"/>
      <c r="I61" s="993"/>
      <c r="J61" s="993"/>
      <c r="K61" s="993"/>
      <c r="L61" s="993"/>
      <c r="M61" s="993"/>
      <c r="N61" s="993"/>
      <c r="O61" s="993"/>
      <c r="P61" s="994"/>
      <c r="Q61" s="10"/>
      <c r="R61" s="1002" t="str">
        <f>Milestone_3!S112</f>
        <v>0/25</v>
      </c>
      <c r="S61" s="996"/>
      <c r="T61" s="10"/>
      <c r="U61" s="10"/>
      <c r="V61" s="10"/>
      <c r="W61" s="10"/>
      <c r="X61" s="10"/>
      <c r="Y61" s="10"/>
      <c r="Z61" s="10"/>
      <c r="AA61" s="10"/>
      <c r="AB61" s="12"/>
    </row>
    <row r="62" spans="1:28">
      <c r="A62" s="9"/>
      <c r="B62" s="287"/>
      <c r="C62" s="287"/>
      <c r="D62" s="287"/>
      <c r="E62" s="287"/>
      <c r="F62" s="287"/>
      <c r="G62" s="287"/>
      <c r="H62" s="18"/>
      <c r="I62" s="18"/>
      <c r="J62" s="10"/>
      <c r="K62" s="10"/>
      <c r="L62" s="10"/>
      <c r="M62" s="10"/>
      <c r="N62" s="10"/>
      <c r="O62" s="10"/>
      <c r="P62" s="10"/>
      <c r="Q62" s="10"/>
      <c r="R62" s="10"/>
      <c r="S62" s="10"/>
      <c r="T62" s="10"/>
      <c r="U62" s="10"/>
      <c r="V62" s="10"/>
      <c r="W62" s="10"/>
      <c r="X62" s="10"/>
      <c r="Y62" s="10"/>
      <c r="Z62" s="10"/>
      <c r="AA62" s="10"/>
      <c r="AB62" s="12"/>
    </row>
    <row r="63" spans="1:28">
      <c r="A63" s="9"/>
      <c r="B63" s="986" t="s">
        <v>1049</v>
      </c>
      <c r="C63" s="987"/>
      <c r="D63" s="987"/>
      <c r="E63" s="987"/>
      <c r="F63" s="987"/>
      <c r="G63" s="987"/>
      <c r="H63" s="988"/>
      <c r="I63" s="10"/>
      <c r="J63" s="989" t="s">
        <v>1050</v>
      </c>
      <c r="K63" s="990"/>
      <c r="L63" s="990"/>
      <c r="M63" s="990"/>
      <c r="N63" s="990"/>
      <c r="O63" s="990"/>
      <c r="P63" s="991"/>
      <c r="Q63" s="10"/>
      <c r="R63" s="343"/>
      <c r="S63" s="271"/>
      <c r="T63" s="10"/>
      <c r="U63" s="271"/>
      <c r="V63" s="271"/>
      <c r="W63" s="271"/>
      <c r="X63" s="271"/>
      <c r="Y63" s="271"/>
      <c r="Z63" s="271"/>
      <c r="AA63" s="271"/>
      <c r="AB63" s="12"/>
    </row>
    <row r="64" spans="1:28" ht="39.5" customHeight="1">
      <c r="A64" s="9"/>
      <c r="B64" s="974" t="str">
        <f>IF(AE14=0,"FILL OUT MILESTONE 3 QUESTIONNAIRE",Milestone_Results_Summary!I17)</f>
        <v>FILL OUT MILESTONE 3 QUESTIONNAIRE</v>
      </c>
      <c r="C64" s="975"/>
      <c r="D64" s="975"/>
      <c r="E64" s="975"/>
      <c r="F64" s="975"/>
      <c r="G64" s="975"/>
      <c r="H64" s="976"/>
      <c r="I64" s="18"/>
      <c r="J64" s="980" t="str">
        <f>IF(AE14=0,"FILL OUT MILESTONE 3 QUESTIONNAIRE",Milestone_Results_Summary!J24)</f>
        <v>FILL OUT MILESTONE 3 QUESTIONNAIRE</v>
      </c>
      <c r="K64" s="981"/>
      <c r="L64" s="981"/>
      <c r="M64" s="981"/>
      <c r="N64" s="981"/>
      <c r="O64" s="981"/>
      <c r="P64" s="982"/>
      <c r="Q64" s="10"/>
      <c r="R64" s="271"/>
      <c r="S64" s="271"/>
      <c r="T64" s="10"/>
      <c r="U64" s="271"/>
      <c r="V64" s="271"/>
      <c r="W64" s="271"/>
      <c r="X64" s="271"/>
      <c r="Y64" s="271"/>
      <c r="Z64" s="271"/>
      <c r="AA64" s="271"/>
      <c r="AB64" s="12"/>
    </row>
    <row r="65" spans="1:28" ht="39.5" customHeight="1">
      <c r="A65" s="9"/>
      <c r="B65" s="974"/>
      <c r="C65" s="975"/>
      <c r="D65" s="975"/>
      <c r="E65" s="975"/>
      <c r="F65" s="975"/>
      <c r="G65" s="975"/>
      <c r="H65" s="976"/>
      <c r="I65" s="18"/>
      <c r="J65" s="980"/>
      <c r="K65" s="981"/>
      <c r="L65" s="981"/>
      <c r="M65" s="981"/>
      <c r="N65" s="981"/>
      <c r="O65" s="981"/>
      <c r="P65" s="982"/>
      <c r="Q65" s="10"/>
      <c r="R65" s="271"/>
      <c r="S65" s="271"/>
      <c r="T65" s="10"/>
      <c r="U65" s="271"/>
      <c r="V65" s="271"/>
      <c r="W65" s="271"/>
      <c r="X65" s="271"/>
      <c r="Y65" s="271"/>
      <c r="Z65" s="271"/>
      <c r="AA65" s="271"/>
      <c r="AB65" s="12"/>
    </row>
    <row r="66" spans="1:28" ht="39.5" customHeight="1">
      <c r="A66" s="9"/>
      <c r="B66" s="974"/>
      <c r="C66" s="975"/>
      <c r="D66" s="975"/>
      <c r="E66" s="975"/>
      <c r="F66" s="975"/>
      <c r="G66" s="975"/>
      <c r="H66" s="976"/>
      <c r="I66" s="18"/>
      <c r="J66" s="980"/>
      <c r="K66" s="981"/>
      <c r="L66" s="981"/>
      <c r="M66" s="981"/>
      <c r="N66" s="981"/>
      <c r="O66" s="981"/>
      <c r="P66" s="982"/>
      <c r="Q66" s="10"/>
      <c r="R66" s="271"/>
      <c r="S66" s="271"/>
      <c r="T66" s="10"/>
      <c r="U66" s="271"/>
      <c r="V66" s="271"/>
      <c r="W66" s="271"/>
      <c r="X66" s="271"/>
      <c r="Y66" s="271"/>
      <c r="Z66" s="271"/>
      <c r="AA66" s="271"/>
      <c r="AB66" s="12"/>
    </row>
    <row r="67" spans="1:28" ht="39.5" customHeight="1">
      <c r="A67" s="9"/>
      <c r="B67" s="974"/>
      <c r="C67" s="975"/>
      <c r="D67" s="975"/>
      <c r="E67" s="975"/>
      <c r="F67" s="975"/>
      <c r="G67" s="975"/>
      <c r="H67" s="976"/>
      <c r="I67" s="18"/>
      <c r="J67" s="980"/>
      <c r="K67" s="981"/>
      <c r="L67" s="981"/>
      <c r="M67" s="981"/>
      <c r="N67" s="981"/>
      <c r="O67" s="981"/>
      <c r="P67" s="982"/>
      <c r="Q67" s="10"/>
      <c r="R67" s="271"/>
      <c r="S67" s="271"/>
      <c r="T67" s="10"/>
      <c r="U67" s="271"/>
      <c r="V67" s="271"/>
      <c r="W67" s="271"/>
      <c r="X67" s="271"/>
      <c r="Y67" s="271"/>
      <c r="Z67" s="271"/>
      <c r="AA67" s="271"/>
      <c r="AB67" s="12"/>
    </row>
    <row r="68" spans="1:28" ht="39.5" customHeight="1">
      <c r="A68" s="9"/>
      <c r="B68" s="974"/>
      <c r="C68" s="975"/>
      <c r="D68" s="975"/>
      <c r="E68" s="975"/>
      <c r="F68" s="975"/>
      <c r="G68" s="975"/>
      <c r="H68" s="976"/>
      <c r="I68" s="18"/>
      <c r="J68" s="980"/>
      <c r="K68" s="981"/>
      <c r="L68" s="981"/>
      <c r="M68" s="981"/>
      <c r="N68" s="981"/>
      <c r="O68" s="981"/>
      <c r="P68" s="982"/>
      <c r="Q68" s="10"/>
      <c r="R68" s="10"/>
      <c r="S68" s="271"/>
      <c r="T68" s="271"/>
      <c r="U68" s="271"/>
      <c r="V68" s="271"/>
      <c r="W68" s="271"/>
      <c r="X68" s="271"/>
      <c r="Y68" s="271"/>
      <c r="Z68" s="271"/>
      <c r="AA68" s="271"/>
      <c r="AB68" s="12"/>
    </row>
    <row r="69" spans="1:28" ht="39.5" customHeight="1">
      <c r="A69" s="9"/>
      <c r="B69" s="974"/>
      <c r="C69" s="975"/>
      <c r="D69" s="975"/>
      <c r="E69" s="975"/>
      <c r="F69" s="975"/>
      <c r="G69" s="975"/>
      <c r="H69" s="976"/>
      <c r="I69" s="18"/>
      <c r="J69" s="980"/>
      <c r="K69" s="981"/>
      <c r="L69" s="981"/>
      <c r="M69" s="981"/>
      <c r="N69" s="981"/>
      <c r="O69" s="981"/>
      <c r="P69" s="982"/>
      <c r="Q69" s="10"/>
      <c r="R69" s="271"/>
      <c r="S69" s="271"/>
      <c r="T69" s="271"/>
      <c r="U69" s="271"/>
      <c r="V69" s="271"/>
      <c r="W69" s="271"/>
      <c r="X69" s="271"/>
      <c r="Y69" s="271"/>
      <c r="Z69" s="271"/>
      <c r="AA69" s="271"/>
      <c r="AB69" s="12"/>
    </row>
    <row r="70" spans="1:28" ht="39.5" customHeight="1">
      <c r="A70" s="9"/>
      <c r="B70" s="974"/>
      <c r="C70" s="975"/>
      <c r="D70" s="975"/>
      <c r="E70" s="975"/>
      <c r="F70" s="975"/>
      <c r="G70" s="975"/>
      <c r="H70" s="976"/>
      <c r="I70" s="18"/>
      <c r="J70" s="980"/>
      <c r="K70" s="981"/>
      <c r="L70" s="981"/>
      <c r="M70" s="981"/>
      <c r="N70" s="981"/>
      <c r="O70" s="981"/>
      <c r="P70" s="982"/>
      <c r="Q70" s="10"/>
      <c r="R70" s="271"/>
      <c r="S70" s="271"/>
      <c r="T70" s="271"/>
      <c r="U70" s="271"/>
      <c r="V70" s="271"/>
      <c r="W70" s="271"/>
      <c r="X70" s="271"/>
      <c r="Y70" s="271"/>
      <c r="Z70" s="271"/>
      <c r="AA70" s="271"/>
      <c r="AB70" s="12"/>
    </row>
    <row r="71" spans="1:28" ht="39.5" customHeight="1">
      <c r="A71" s="9"/>
      <c r="B71" s="974"/>
      <c r="C71" s="975"/>
      <c r="D71" s="975"/>
      <c r="E71" s="975"/>
      <c r="F71" s="975"/>
      <c r="G71" s="975"/>
      <c r="H71" s="976"/>
      <c r="I71" s="18"/>
      <c r="J71" s="980"/>
      <c r="K71" s="981"/>
      <c r="L71" s="981"/>
      <c r="M71" s="981"/>
      <c r="N71" s="981"/>
      <c r="O71" s="981"/>
      <c r="P71" s="982"/>
      <c r="Q71" s="10"/>
      <c r="R71" s="271"/>
      <c r="S71" s="271"/>
      <c r="T71" s="271"/>
      <c r="U71" s="271"/>
      <c r="V71" s="271"/>
      <c r="W71" s="271"/>
      <c r="X71" s="271"/>
      <c r="Y71" s="271"/>
      <c r="Z71" s="271"/>
      <c r="AA71" s="271"/>
      <c r="AB71" s="12"/>
    </row>
    <row r="72" spans="1:28" ht="39.5" customHeight="1">
      <c r="A72" s="9"/>
      <c r="B72" s="974"/>
      <c r="C72" s="975"/>
      <c r="D72" s="975"/>
      <c r="E72" s="975"/>
      <c r="F72" s="975"/>
      <c r="G72" s="975"/>
      <c r="H72" s="976"/>
      <c r="I72" s="18"/>
      <c r="J72" s="980"/>
      <c r="K72" s="981"/>
      <c r="L72" s="981"/>
      <c r="M72" s="981"/>
      <c r="N72" s="981"/>
      <c r="O72" s="981"/>
      <c r="P72" s="982"/>
      <c r="Q72" s="10"/>
      <c r="R72" s="271"/>
      <c r="S72" s="271"/>
      <c r="T72" s="271"/>
      <c r="U72" s="271"/>
      <c r="V72" s="271"/>
      <c r="W72" s="271"/>
      <c r="X72" s="271"/>
      <c r="Y72" s="271"/>
      <c r="Z72" s="271"/>
      <c r="AA72" s="271"/>
      <c r="AB72" s="12"/>
    </row>
    <row r="73" spans="1:28" ht="39.5" customHeight="1">
      <c r="A73" s="9"/>
      <c r="B73" s="974"/>
      <c r="C73" s="975"/>
      <c r="D73" s="975"/>
      <c r="E73" s="975"/>
      <c r="F73" s="975"/>
      <c r="G73" s="975"/>
      <c r="H73" s="976"/>
      <c r="I73" s="18"/>
      <c r="J73" s="980"/>
      <c r="K73" s="981"/>
      <c r="L73" s="981"/>
      <c r="M73" s="981"/>
      <c r="N73" s="981"/>
      <c r="O73" s="981"/>
      <c r="P73" s="982"/>
      <c r="Q73" s="10"/>
      <c r="R73" s="271"/>
      <c r="S73" s="271"/>
      <c r="T73" s="271"/>
      <c r="U73" s="271"/>
      <c r="V73" s="271"/>
      <c r="W73" s="271"/>
      <c r="X73" s="271"/>
      <c r="Y73" s="271"/>
      <c r="Z73" s="271"/>
      <c r="AA73" s="271"/>
      <c r="AB73" s="12"/>
    </row>
    <row r="74" spans="1:28" ht="39.5" customHeight="1">
      <c r="A74" s="9"/>
      <c r="B74" s="974"/>
      <c r="C74" s="975"/>
      <c r="D74" s="975"/>
      <c r="E74" s="975"/>
      <c r="F74" s="975"/>
      <c r="G74" s="975"/>
      <c r="H74" s="976"/>
      <c r="I74" s="18"/>
      <c r="J74" s="980"/>
      <c r="K74" s="981"/>
      <c r="L74" s="981"/>
      <c r="M74" s="981"/>
      <c r="N74" s="981"/>
      <c r="O74" s="981"/>
      <c r="P74" s="982"/>
      <c r="Q74" s="10"/>
      <c r="R74" s="271"/>
      <c r="S74" s="271"/>
      <c r="T74" s="271"/>
      <c r="U74" s="271"/>
      <c r="V74" s="271"/>
      <c r="W74" s="271"/>
      <c r="X74" s="271"/>
      <c r="Y74" s="271"/>
      <c r="Z74" s="271"/>
      <c r="AA74" s="271"/>
      <c r="AB74" s="12"/>
    </row>
    <row r="75" spans="1:28" ht="39.5" customHeight="1">
      <c r="A75" s="9"/>
      <c r="B75" s="974"/>
      <c r="C75" s="975"/>
      <c r="D75" s="975"/>
      <c r="E75" s="975"/>
      <c r="F75" s="975"/>
      <c r="G75" s="975"/>
      <c r="H75" s="976"/>
      <c r="I75" s="18"/>
      <c r="J75" s="980"/>
      <c r="K75" s="981"/>
      <c r="L75" s="981"/>
      <c r="M75" s="981"/>
      <c r="N75" s="981"/>
      <c r="O75" s="981"/>
      <c r="P75" s="982"/>
      <c r="Q75" s="10"/>
      <c r="R75" s="271"/>
      <c r="S75" s="271"/>
      <c r="T75" s="271"/>
      <c r="U75" s="271"/>
      <c r="V75" s="271"/>
      <c r="W75" s="271"/>
      <c r="X75" s="271"/>
      <c r="Y75" s="271"/>
      <c r="Z75" s="271"/>
      <c r="AA75" s="271"/>
      <c r="AB75" s="12"/>
    </row>
    <row r="76" spans="1:28" ht="62" customHeight="1">
      <c r="A76" s="9"/>
      <c r="B76" s="977"/>
      <c r="C76" s="978"/>
      <c r="D76" s="978"/>
      <c r="E76" s="978"/>
      <c r="F76" s="978"/>
      <c r="G76" s="978"/>
      <c r="H76" s="979"/>
      <c r="I76" s="18"/>
      <c r="J76" s="983"/>
      <c r="K76" s="984"/>
      <c r="L76" s="984"/>
      <c r="M76" s="984"/>
      <c r="N76" s="984"/>
      <c r="O76" s="984"/>
      <c r="P76" s="985"/>
      <c r="Q76" s="10"/>
      <c r="R76" s="271"/>
      <c r="S76" s="271"/>
      <c r="T76" s="271"/>
      <c r="U76" s="271"/>
      <c r="V76" s="271"/>
      <c r="W76" s="271"/>
      <c r="X76" s="271"/>
      <c r="Y76" s="271"/>
      <c r="Z76" s="271"/>
      <c r="AA76" s="271"/>
      <c r="AB76" s="12"/>
    </row>
    <row r="77" spans="1:28">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2"/>
    </row>
    <row r="78" spans="1:28" ht="20">
      <c r="A78" s="9"/>
      <c r="B78" s="992" t="s">
        <v>87</v>
      </c>
      <c r="C78" s="993"/>
      <c r="D78" s="993"/>
      <c r="E78" s="993"/>
      <c r="F78" s="993"/>
      <c r="G78" s="993"/>
      <c r="H78" s="993"/>
      <c r="I78" s="993"/>
      <c r="J78" s="993"/>
      <c r="K78" s="993"/>
      <c r="L78" s="993"/>
      <c r="M78" s="993"/>
      <c r="N78" s="993"/>
      <c r="O78" s="993"/>
      <c r="P78" s="994"/>
      <c r="Q78" s="10"/>
      <c r="R78" s="1002" t="str">
        <f>Milestone_4!Z84</f>
        <v>0/25</v>
      </c>
      <c r="S78" s="996"/>
      <c r="T78" s="10"/>
      <c r="U78" s="10"/>
      <c r="V78" s="10"/>
      <c r="W78" s="10"/>
      <c r="X78" s="10"/>
      <c r="Y78" s="10"/>
      <c r="Z78" s="10"/>
      <c r="AA78" s="10"/>
      <c r="AB78" s="12"/>
    </row>
    <row r="79" spans="1:28">
      <c r="A79" s="9"/>
      <c r="B79" s="287"/>
      <c r="C79" s="287"/>
      <c r="D79" s="287"/>
      <c r="E79" s="287"/>
      <c r="F79" s="287"/>
      <c r="G79" s="287"/>
      <c r="H79" s="18"/>
      <c r="I79" s="18"/>
      <c r="J79" s="10"/>
      <c r="K79" s="10"/>
      <c r="L79" s="10"/>
      <c r="M79" s="10"/>
      <c r="N79" s="10"/>
      <c r="O79" s="10"/>
      <c r="P79" s="10"/>
      <c r="Q79" s="10"/>
      <c r="R79" s="10"/>
      <c r="S79" s="10"/>
      <c r="T79" s="10"/>
      <c r="U79" s="10"/>
      <c r="V79" s="10"/>
      <c r="W79" s="10"/>
      <c r="X79" s="10"/>
      <c r="Y79" s="340"/>
      <c r="Z79" s="10"/>
      <c r="AA79" s="10"/>
      <c r="AB79" s="12"/>
    </row>
    <row r="80" spans="1:28">
      <c r="A80" s="9"/>
      <c r="B80" s="986" t="s">
        <v>1049</v>
      </c>
      <c r="C80" s="987"/>
      <c r="D80" s="987"/>
      <c r="E80" s="987"/>
      <c r="F80" s="987"/>
      <c r="G80" s="987"/>
      <c r="H80" s="988"/>
      <c r="I80" s="10"/>
      <c r="J80" s="989" t="s">
        <v>1050</v>
      </c>
      <c r="K80" s="990"/>
      <c r="L80" s="990"/>
      <c r="M80" s="990"/>
      <c r="N80" s="990"/>
      <c r="O80" s="990"/>
      <c r="P80" s="991"/>
      <c r="Q80" s="10"/>
      <c r="R80" s="344"/>
      <c r="S80" s="271"/>
      <c r="T80" s="10"/>
      <c r="U80" s="10"/>
      <c r="V80" s="10"/>
      <c r="W80" s="10"/>
      <c r="X80" s="10"/>
      <c r="Y80" s="10"/>
      <c r="Z80" s="10"/>
      <c r="AA80" s="10"/>
      <c r="AB80" s="12"/>
    </row>
    <row r="81" spans="1:28" ht="39.5" customHeight="1">
      <c r="A81" s="9"/>
      <c r="B81" s="974" t="str">
        <f>IF(AE15=0,"FILL OUT MILESTONE 4 QUESTIONNAIRE",Milestone_Results_Summary!I24)</f>
        <v>FILL OUT MILESTONE 4 QUESTIONNAIRE</v>
      </c>
      <c r="C81" s="975"/>
      <c r="D81" s="975"/>
      <c r="E81" s="975"/>
      <c r="F81" s="975"/>
      <c r="G81" s="975"/>
      <c r="H81" s="976"/>
      <c r="I81" s="18"/>
      <c r="J81" s="980" t="str">
        <f>IF(AE15=0,"FILL OUT MILESTONE 4 QUESTIONNAIRE",Milestone_Results_Summary!J24)</f>
        <v>FILL OUT MILESTONE 4 QUESTIONNAIRE</v>
      </c>
      <c r="K81" s="981"/>
      <c r="L81" s="981"/>
      <c r="M81" s="981"/>
      <c r="N81" s="981"/>
      <c r="O81" s="981"/>
      <c r="P81" s="982"/>
      <c r="Q81" s="10"/>
      <c r="R81" s="271"/>
      <c r="S81" s="271"/>
      <c r="T81" s="10"/>
      <c r="U81" s="271"/>
      <c r="V81" s="271"/>
      <c r="W81" s="271"/>
      <c r="X81" s="271"/>
      <c r="Y81" s="271"/>
      <c r="Z81" s="271"/>
      <c r="AA81" s="271"/>
      <c r="AB81" s="12"/>
    </row>
    <row r="82" spans="1:28" ht="39.5" customHeight="1">
      <c r="A82" s="9"/>
      <c r="B82" s="974"/>
      <c r="C82" s="975"/>
      <c r="D82" s="975"/>
      <c r="E82" s="975"/>
      <c r="F82" s="975"/>
      <c r="G82" s="975"/>
      <c r="H82" s="976"/>
      <c r="I82" s="18"/>
      <c r="J82" s="980"/>
      <c r="K82" s="981"/>
      <c r="L82" s="981"/>
      <c r="M82" s="981"/>
      <c r="N82" s="981"/>
      <c r="O82" s="981"/>
      <c r="P82" s="982"/>
      <c r="Q82" s="10"/>
      <c r="R82" s="271"/>
      <c r="S82" s="271"/>
      <c r="T82" s="10"/>
      <c r="U82" s="271"/>
      <c r="V82" s="271"/>
      <c r="W82" s="271"/>
      <c r="X82" s="271"/>
      <c r="Y82" s="271"/>
      <c r="Z82" s="271"/>
      <c r="AA82" s="271"/>
      <c r="AB82" s="12"/>
    </row>
    <row r="83" spans="1:28" ht="39.5" customHeight="1">
      <c r="A83" s="9"/>
      <c r="B83" s="974"/>
      <c r="C83" s="975"/>
      <c r="D83" s="975"/>
      <c r="E83" s="975"/>
      <c r="F83" s="975"/>
      <c r="G83" s="975"/>
      <c r="H83" s="976"/>
      <c r="I83" s="18"/>
      <c r="J83" s="980"/>
      <c r="K83" s="981"/>
      <c r="L83" s="981"/>
      <c r="M83" s="981"/>
      <c r="N83" s="981"/>
      <c r="O83" s="981"/>
      <c r="P83" s="982"/>
      <c r="Q83" s="10"/>
      <c r="R83" s="271"/>
      <c r="S83" s="271"/>
      <c r="T83" s="10"/>
      <c r="U83" s="271"/>
      <c r="V83" s="271"/>
      <c r="W83" s="271"/>
      <c r="X83" s="271"/>
      <c r="Y83" s="271"/>
      <c r="Z83" s="271"/>
      <c r="AA83" s="271"/>
      <c r="AB83" s="12"/>
    </row>
    <row r="84" spans="1:28" ht="39.5" customHeight="1">
      <c r="A84" s="9"/>
      <c r="B84" s="974"/>
      <c r="C84" s="975"/>
      <c r="D84" s="975"/>
      <c r="E84" s="975"/>
      <c r="F84" s="975"/>
      <c r="G84" s="975"/>
      <c r="H84" s="976"/>
      <c r="I84" s="18"/>
      <c r="J84" s="980"/>
      <c r="K84" s="981"/>
      <c r="L84" s="981"/>
      <c r="M84" s="981"/>
      <c r="N84" s="981"/>
      <c r="O84" s="981"/>
      <c r="P84" s="982"/>
      <c r="Q84" s="10"/>
      <c r="R84" s="271"/>
      <c r="S84" s="271"/>
      <c r="T84" s="10"/>
      <c r="U84" s="271"/>
      <c r="V84" s="271"/>
      <c r="W84" s="271"/>
      <c r="X84" s="271"/>
      <c r="Y84" s="271"/>
      <c r="Z84" s="271"/>
      <c r="AA84" s="271"/>
      <c r="AB84" s="12"/>
    </row>
    <row r="85" spans="1:28" ht="39.5" customHeight="1">
      <c r="A85" s="9"/>
      <c r="B85" s="974"/>
      <c r="C85" s="975"/>
      <c r="D85" s="975"/>
      <c r="E85" s="975"/>
      <c r="F85" s="975"/>
      <c r="G85" s="975"/>
      <c r="H85" s="976"/>
      <c r="I85" s="18"/>
      <c r="J85" s="980"/>
      <c r="K85" s="981"/>
      <c r="L85" s="981"/>
      <c r="M85" s="981"/>
      <c r="N85" s="981"/>
      <c r="O85" s="981"/>
      <c r="P85" s="982"/>
      <c r="Q85" s="10"/>
      <c r="R85" s="10"/>
      <c r="S85" s="271"/>
      <c r="T85" s="271"/>
      <c r="U85" s="271"/>
      <c r="V85" s="271"/>
      <c r="W85" s="271"/>
      <c r="X85" s="271"/>
      <c r="Y85" s="271"/>
      <c r="Z85" s="271"/>
      <c r="AA85" s="271"/>
      <c r="AB85" s="12"/>
    </row>
    <row r="86" spans="1:28" ht="39.5" customHeight="1">
      <c r="A86" s="9"/>
      <c r="B86" s="974"/>
      <c r="C86" s="975"/>
      <c r="D86" s="975"/>
      <c r="E86" s="975"/>
      <c r="F86" s="975"/>
      <c r="G86" s="975"/>
      <c r="H86" s="976"/>
      <c r="I86" s="18"/>
      <c r="J86" s="980"/>
      <c r="K86" s="981"/>
      <c r="L86" s="981"/>
      <c r="M86" s="981"/>
      <c r="N86" s="981"/>
      <c r="O86" s="981"/>
      <c r="P86" s="982"/>
      <c r="Q86" s="10"/>
      <c r="R86" s="271"/>
      <c r="S86" s="271"/>
      <c r="T86" s="271"/>
      <c r="U86" s="271"/>
      <c r="V86" s="271"/>
      <c r="W86" s="271"/>
      <c r="X86" s="271"/>
      <c r="Y86" s="271"/>
      <c r="Z86" s="271"/>
      <c r="AA86" s="271"/>
      <c r="AB86" s="12"/>
    </row>
    <row r="87" spans="1:28" ht="39.5" customHeight="1">
      <c r="A87" s="9"/>
      <c r="B87" s="974"/>
      <c r="C87" s="975"/>
      <c r="D87" s="975"/>
      <c r="E87" s="975"/>
      <c r="F87" s="975"/>
      <c r="G87" s="975"/>
      <c r="H87" s="976"/>
      <c r="I87" s="18"/>
      <c r="J87" s="980"/>
      <c r="K87" s="981"/>
      <c r="L87" s="981"/>
      <c r="M87" s="981"/>
      <c r="N87" s="981"/>
      <c r="O87" s="981"/>
      <c r="P87" s="982"/>
      <c r="Q87" s="10"/>
      <c r="R87" s="271"/>
      <c r="S87" s="271"/>
      <c r="T87" s="271"/>
      <c r="U87" s="271"/>
      <c r="V87" s="271"/>
      <c r="W87" s="271"/>
      <c r="X87" s="271"/>
      <c r="Y87" s="271"/>
      <c r="Z87" s="271"/>
      <c r="AA87" s="271"/>
      <c r="AB87" s="12"/>
    </row>
    <row r="88" spans="1:28" ht="39.5" customHeight="1">
      <c r="A88" s="9"/>
      <c r="B88" s="974"/>
      <c r="C88" s="975"/>
      <c r="D88" s="975"/>
      <c r="E88" s="975"/>
      <c r="F88" s="975"/>
      <c r="G88" s="975"/>
      <c r="H88" s="976"/>
      <c r="I88" s="18"/>
      <c r="J88" s="980"/>
      <c r="K88" s="981"/>
      <c r="L88" s="981"/>
      <c r="M88" s="981"/>
      <c r="N88" s="981"/>
      <c r="O88" s="981"/>
      <c r="P88" s="982"/>
      <c r="Q88" s="10"/>
      <c r="R88" s="271"/>
      <c r="S88" s="271"/>
      <c r="T88" s="271"/>
      <c r="U88" s="271"/>
      <c r="V88" s="271"/>
      <c r="W88" s="271"/>
      <c r="X88" s="271"/>
      <c r="Y88" s="271"/>
      <c r="Z88" s="271"/>
      <c r="AA88" s="271"/>
      <c r="AB88" s="12"/>
    </row>
    <row r="89" spans="1:28" ht="39.5" customHeight="1">
      <c r="A89" s="9"/>
      <c r="B89" s="974"/>
      <c r="C89" s="975"/>
      <c r="D89" s="975"/>
      <c r="E89" s="975"/>
      <c r="F89" s="975"/>
      <c r="G89" s="975"/>
      <c r="H89" s="976"/>
      <c r="I89" s="18"/>
      <c r="J89" s="980"/>
      <c r="K89" s="981"/>
      <c r="L89" s="981"/>
      <c r="M89" s="981"/>
      <c r="N89" s="981"/>
      <c r="O89" s="981"/>
      <c r="P89" s="982"/>
      <c r="Q89" s="10"/>
      <c r="R89" s="271"/>
      <c r="S89" s="271"/>
      <c r="T89" s="271"/>
      <c r="U89" s="271"/>
      <c r="V89" s="271"/>
      <c r="W89" s="271"/>
      <c r="X89" s="271"/>
      <c r="Y89" s="271"/>
      <c r="Z89" s="271"/>
      <c r="AA89" s="271"/>
      <c r="AB89" s="12"/>
    </row>
    <row r="90" spans="1:28" ht="39.5" customHeight="1">
      <c r="A90" s="9"/>
      <c r="B90" s="974"/>
      <c r="C90" s="975"/>
      <c r="D90" s="975"/>
      <c r="E90" s="975"/>
      <c r="F90" s="975"/>
      <c r="G90" s="975"/>
      <c r="H90" s="976"/>
      <c r="I90" s="18"/>
      <c r="J90" s="980"/>
      <c r="K90" s="981"/>
      <c r="L90" s="981"/>
      <c r="M90" s="981"/>
      <c r="N90" s="981"/>
      <c r="O90" s="981"/>
      <c r="P90" s="982"/>
      <c r="Q90" s="10"/>
      <c r="R90" s="271"/>
      <c r="S90" s="271"/>
      <c r="T90" s="271"/>
      <c r="U90" s="271"/>
      <c r="V90" s="271"/>
      <c r="W90" s="271"/>
      <c r="X90" s="271"/>
      <c r="Y90" s="271"/>
      <c r="Z90" s="271"/>
      <c r="AA90" s="271"/>
      <c r="AB90" s="12"/>
    </row>
    <row r="91" spans="1:28" ht="39.5" customHeight="1">
      <c r="A91" s="9"/>
      <c r="B91" s="974"/>
      <c r="C91" s="975"/>
      <c r="D91" s="975"/>
      <c r="E91" s="975"/>
      <c r="F91" s="975"/>
      <c r="G91" s="975"/>
      <c r="H91" s="976"/>
      <c r="I91" s="18"/>
      <c r="J91" s="980"/>
      <c r="K91" s="981"/>
      <c r="L91" s="981"/>
      <c r="M91" s="981"/>
      <c r="N91" s="981"/>
      <c r="O91" s="981"/>
      <c r="P91" s="982"/>
      <c r="Q91" s="10"/>
      <c r="R91" s="271"/>
      <c r="S91" s="271"/>
      <c r="T91" s="271"/>
      <c r="U91" s="271"/>
      <c r="V91" s="271"/>
      <c r="W91" s="271"/>
      <c r="X91" s="271"/>
      <c r="Y91" s="271"/>
      <c r="Z91" s="271"/>
      <c r="AA91" s="271"/>
      <c r="AB91" s="12"/>
    </row>
    <row r="92" spans="1:28" ht="39.5" customHeight="1">
      <c r="A92" s="9"/>
      <c r="B92" s="974"/>
      <c r="C92" s="975"/>
      <c r="D92" s="975"/>
      <c r="E92" s="975"/>
      <c r="F92" s="975"/>
      <c r="G92" s="975"/>
      <c r="H92" s="976"/>
      <c r="I92" s="18"/>
      <c r="J92" s="980"/>
      <c r="K92" s="981"/>
      <c r="L92" s="981"/>
      <c r="M92" s="981"/>
      <c r="N92" s="981"/>
      <c r="O92" s="981"/>
      <c r="P92" s="982"/>
      <c r="Q92" s="10"/>
      <c r="R92" s="271"/>
      <c r="S92" s="271"/>
      <c r="T92" s="271"/>
      <c r="U92" s="271"/>
      <c r="V92" s="271"/>
      <c r="W92" s="271"/>
      <c r="X92" s="271"/>
      <c r="Y92" s="271"/>
      <c r="Z92" s="271"/>
      <c r="AA92" s="271"/>
      <c r="AB92" s="12"/>
    </row>
    <row r="93" spans="1:28" ht="39.5" customHeight="1">
      <c r="A93" s="9"/>
      <c r="B93" s="977"/>
      <c r="C93" s="978"/>
      <c r="D93" s="978"/>
      <c r="E93" s="978"/>
      <c r="F93" s="978"/>
      <c r="G93" s="978"/>
      <c r="H93" s="979"/>
      <c r="I93" s="18"/>
      <c r="J93" s="983"/>
      <c r="K93" s="984"/>
      <c r="L93" s="984"/>
      <c r="M93" s="984"/>
      <c r="N93" s="984"/>
      <c r="O93" s="984"/>
      <c r="P93" s="985"/>
      <c r="Q93" s="10"/>
      <c r="R93" s="271"/>
      <c r="S93" s="271"/>
      <c r="T93" s="271"/>
      <c r="U93" s="271"/>
      <c r="V93" s="271"/>
      <c r="W93" s="271"/>
      <c r="X93" s="271"/>
      <c r="Y93" s="271"/>
      <c r="Z93" s="271"/>
      <c r="AA93" s="271"/>
      <c r="AB93" s="12"/>
    </row>
    <row r="94" spans="1:28">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2"/>
    </row>
    <row r="95" spans="1:28" ht="20">
      <c r="A95" s="9"/>
      <c r="B95" s="992" t="s">
        <v>322</v>
      </c>
      <c r="C95" s="993"/>
      <c r="D95" s="993"/>
      <c r="E95" s="993"/>
      <c r="F95" s="993"/>
      <c r="G95" s="993"/>
      <c r="H95" s="993"/>
      <c r="I95" s="993"/>
      <c r="J95" s="993"/>
      <c r="K95" s="993"/>
      <c r="L95" s="993"/>
      <c r="M95" s="993"/>
      <c r="N95" s="993"/>
      <c r="O95" s="993"/>
      <c r="P95" s="994"/>
      <c r="Q95" s="10"/>
      <c r="R95" s="1002" t="str">
        <f>Milestone_5!T125</f>
        <v>0/15</v>
      </c>
      <c r="S95" s="996"/>
      <c r="T95" s="10"/>
      <c r="U95" s="10"/>
      <c r="V95" s="10"/>
      <c r="W95" s="10"/>
      <c r="X95" s="10"/>
      <c r="Y95" s="340"/>
      <c r="Z95" s="10"/>
      <c r="AA95" s="10"/>
      <c r="AB95" s="12"/>
    </row>
    <row r="96" spans="1:28">
      <c r="A96" s="9"/>
      <c r="B96" s="287"/>
      <c r="C96" s="287"/>
      <c r="D96" s="287"/>
      <c r="E96" s="287"/>
      <c r="F96" s="287"/>
      <c r="G96" s="287"/>
      <c r="H96" s="18"/>
      <c r="I96" s="18"/>
      <c r="J96" s="10"/>
      <c r="K96" s="10"/>
      <c r="L96" s="10"/>
      <c r="M96" s="10"/>
      <c r="N96" s="10"/>
      <c r="O96" s="10"/>
      <c r="P96" s="10"/>
      <c r="Q96" s="10"/>
      <c r="R96" s="10"/>
      <c r="S96" s="10"/>
      <c r="T96" s="10"/>
      <c r="U96" s="10"/>
      <c r="V96" s="10"/>
      <c r="W96" s="10"/>
      <c r="X96" s="10"/>
      <c r="Y96" s="10"/>
      <c r="Z96" s="10"/>
      <c r="AA96" s="10"/>
      <c r="AB96" s="12"/>
    </row>
    <row r="97" spans="1:28">
      <c r="A97" s="9"/>
      <c r="B97" s="986" t="s">
        <v>1049</v>
      </c>
      <c r="C97" s="987"/>
      <c r="D97" s="987"/>
      <c r="E97" s="987"/>
      <c r="F97" s="987"/>
      <c r="G97" s="987"/>
      <c r="H97" s="988"/>
      <c r="I97" s="10"/>
      <c r="J97" s="989" t="s">
        <v>1050</v>
      </c>
      <c r="K97" s="990"/>
      <c r="L97" s="990"/>
      <c r="M97" s="990"/>
      <c r="N97" s="990"/>
      <c r="O97" s="990"/>
      <c r="P97" s="991"/>
      <c r="Q97" s="10"/>
      <c r="R97" s="10"/>
      <c r="S97" s="270"/>
      <c r="T97" s="10"/>
      <c r="U97" s="10"/>
      <c r="V97" s="10"/>
      <c r="W97" s="10"/>
      <c r="X97" s="10"/>
      <c r="Y97" s="10"/>
      <c r="Z97" s="10"/>
      <c r="AA97" s="10"/>
      <c r="AB97" s="12"/>
    </row>
    <row r="98" spans="1:28" ht="31.5" customHeight="1">
      <c r="A98" s="9"/>
      <c r="B98" s="974" t="str">
        <f>IF(AE16=0,"FILL OUT MILESTONE 5 QUESTIONNAIRE",Milestone_Results_Summary!I30)</f>
        <v>FILL OUT MILESTONE 5 QUESTIONNAIRE</v>
      </c>
      <c r="C98" s="975"/>
      <c r="D98" s="975"/>
      <c r="E98" s="975"/>
      <c r="F98" s="975"/>
      <c r="G98" s="975"/>
      <c r="H98" s="976"/>
      <c r="I98" s="18"/>
      <c r="J98" s="980" t="str">
        <f>IF(AE16=0,"FILL OUT MILESTONE 5 QUESTIONNAIRE",Milestone_Results_Summary!J30)</f>
        <v>FILL OUT MILESTONE 5 QUESTIONNAIRE</v>
      </c>
      <c r="K98" s="981"/>
      <c r="L98" s="981"/>
      <c r="M98" s="981"/>
      <c r="N98" s="981"/>
      <c r="O98" s="981"/>
      <c r="P98" s="982"/>
      <c r="Q98" s="10"/>
      <c r="R98" s="270"/>
      <c r="S98" s="270"/>
      <c r="T98" s="10"/>
      <c r="U98" s="1001"/>
      <c r="V98" s="1001"/>
      <c r="W98" s="1001"/>
      <c r="X98" s="1001"/>
      <c r="Y98" s="1001"/>
      <c r="Z98" s="1001"/>
      <c r="AA98" s="18"/>
      <c r="AB98" s="12"/>
    </row>
    <row r="99" spans="1:28" ht="31.5" customHeight="1">
      <c r="A99" s="9"/>
      <c r="B99" s="974"/>
      <c r="C99" s="975"/>
      <c r="D99" s="975"/>
      <c r="E99" s="975"/>
      <c r="F99" s="975"/>
      <c r="G99" s="975"/>
      <c r="H99" s="976"/>
      <c r="I99" s="18"/>
      <c r="J99" s="980"/>
      <c r="K99" s="981"/>
      <c r="L99" s="981"/>
      <c r="M99" s="981"/>
      <c r="N99" s="981"/>
      <c r="O99" s="981"/>
      <c r="P99" s="982"/>
      <c r="Q99" s="10"/>
      <c r="R99" s="270"/>
      <c r="S99" s="270"/>
      <c r="T99" s="10"/>
      <c r="U99" s="1001"/>
      <c r="V99" s="1001"/>
      <c r="W99" s="1001"/>
      <c r="X99" s="1001"/>
      <c r="Y99" s="1001"/>
      <c r="Z99" s="1001"/>
      <c r="AA99" s="18"/>
      <c r="AB99" s="12"/>
    </row>
    <row r="100" spans="1:28" ht="31.5" customHeight="1">
      <c r="A100" s="9"/>
      <c r="B100" s="974"/>
      <c r="C100" s="975"/>
      <c r="D100" s="975"/>
      <c r="E100" s="975"/>
      <c r="F100" s="975"/>
      <c r="G100" s="975"/>
      <c r="H100" s="976"/>
      <c r="I100" s="18"/>
      <c r="J100" s="980"/>
      <c r="K100" s="981"/>
      <c r="L100" s="981"/>
      <c r="M100" s="981"/>
      <c r="N100" s="981"/>
      <c r="O100" s="981"/>
      <c r="P100" s="982"/>
      <c r="Q100" s="10"/>
      <c r="R100" s="270"/>
      <c r="S100" s="270"/>
      <c r="T100" s="10"/>
      <c r="U100" s="1001"/>
      <c r="V100" s="1001"/>
      <c r="W100" s="1001"/>
      <c r="X100" s="1001"/>
      <c r="Y100" s="1001"/>
      <c r="Z100" s="1001"/>
      <c r="AA100" s="18"/>
      <c r="AB100" s="12"/>
    </row>
    <row r="101" spans="1:28" ht="31.5" customHeight="1">
      <c r="A101" s="9"/>
      <c r="B101" s="974"/>
      <c r="C101" s="975"/>
      <c r="D101" s="975"/>
      <c r="E101" s="975"/>
      <c r="F101" s="975"/>
      <c r="G101" s="975"/>
      <c r="H101" s="976"/>
      <c r="I101" s="18"/>
      <c r="J101" s="980"/>
      <c r="K101" s="981"/>
      <c r="L101" s="981"/>
      <c r="M101" s="981"/>
      <c r="N101" s="981"/>
      <c r="O101" s="981"/>
      <c r="P101" s="982"/>
      <c r="Q101" s="10"/>
      <c r="R101" s="270"/>
      <c r="S101" s="270"/>
      <c r="T101" s="10"/>
      <c r="U101" s="1001"/>
      <c r="V101" s="1001"/>
      <c r="W101" s="1001"/>
      <c r="X101" s="1001"/>
      <c r="Y101" s="1001"/>
      <c r="Z101" s="1001"/>
      <c r="AA101" s="18"/>
      <c r="AB101" s="12"/>
    </row>
    <row r="102" spans="1:28" ht="31.5" customHeight="1">
      <c r="A102" s="9"/>
      <c r="B102" s="974"/>
      <c r="C102" s="975"/>
      <c r="D102" s="975"/>
      <c r="E102" s="975"/>
      <c r="F102" s="975"/>
      <c r="G102" s="975"/>
      <c r="H102" s="976"/>
      <c r="I102" s="18"/>
      <c r="J102" s="980"/>
      <c r="K102" s="981"/>
      <c r="L102" s="981"/>
      <c r="M102" s="981"/>
      <c r="N102" s="981"/>
      <c r="O102" s="981"/>
      <c r="P102" s="982"/>
      <c r="Q102" s="10"/>
      <c r="R102" s="270"/>
      <c r="S102" s="270"/>
      <c r="T102" s="10"/>
      <c r="U102" s="1001"/>
      <c r="V102" s="1001"/>
      <c r="W102" s="1001"/>
      <c r="X102" s="1001"/>
      <c r="Y102" s="1001"/>
      <c r="Z102" s="1001"/>
      <c r="AA102" s="18"/>
      <c r="AB102" s="12"/>
    </row>
    <row r="103" spans="1:28" ht="31.5" customHeight="1">
      <c r="A103" s="9"/>
      <c r="B103" s="974"/>
      <c r="C103" s="975"/>
      <c r="D103" s="975"/>
      <c r="E103" s="975"/>
      <c r="F103" s="975"/>
      <c r="G103" s="975"/>
      <c r="H103" s="976"/>
      <c r="I103" s="18"/>
      <c r="J103" s="980"/>
      <c r="K103" s="981"/>
      <c r="L103" s="981"/>
      <c r="M103" s="981"/>
      <c r="N103" s="981"/>
      <c r="O103" s="981"/>
      <c r="P103" s="982"/>
      <c r="Q103" s="10"/>
      <c r="R103" s="10"/>
      <c r="S103" s="270"/>
      <c r="T103" s="270"/>
      <c r="U103" s="270"/>
      <c r="V103" s="270"/>
      <c r="W103" s="270"/>
      <c r="X103" s="270"/>
      <c r="Y103" s="270"/>
      <c r="Z103" s="270"/>
      <c r="AA103" s="270"/>
      <c r="AB103" s="12"/>
    </row>
    <row r="104" spans="1:28" ht="31.5" customHeight="1">
      <c r="A104" s="9"/>
      <c r="B104" s="974"/>
      <c r="C104" s="975"/>
      <c r="D104" s="975"/>
      <c r="E104" s="975"/>
      <c r="F104" s="975"/>
      <c r="G104" s="975"/>
      <c r="H104" s="976"/>
      <c r="I104" s="18"/>
      <c r="J104" s="980"/>
      <c r="K104" s="981"/>
      <c r="L104" s="981"/>
      <c r="M104" s="981"/>
      <c r="N104" s="981"/>
      <c r="O104" s="981"/>
      <c r="P104" s="982"/>
      <c r="Q104" s="10"/>
      <c r="R104" s="270"/>
      <c r="S104" s="270"/>
      <c r="T104" s="270"/>
      <c r="U104" s="270"/>
      <c r="V104" s="270"/>
      <c r="W104" s="270"/>
      <c r="X104" s="270"/>
      <c r="Y104" s="270"/>
      <c r="Z104" s="270"/>
      <c r="AA104" s="270"/>
      <c r="AB104" s="12"/>
    </row>
    <row r="105" spans="1:28" ht="31.5" customHeight="1">
      <c r="A105" s="9"/>
      <c r="B105" s="974"/>
      <c r="C105" s="975"/>
      <c r="D105" s="975"/>
      <c r="E105" s="975"/>
      <c r="F105" s="975"/>
      <c r="G105" s="975"/>
      <c r="H105" s="976"/>
      <c r="I105" s="18"/>
      <c r="J105" s="980"/>
      <c r="K105" s="981"/>
      <c r="L105" s="981"/>
      <c r="M105" s="981"/>
      <c r="N105" s="981"/>
      <c r="O105" s="981"/>
      <c r="P105" s="982"/>
      <c r="Q105" s="10"/>
      <c r="R105" s="270"/>
      <c r="S105" s="270"/>
      <c r="T105" s="270"/>
      <c r="U105" s="270"/>
      <c r="V105" s="270"/>
      <c r="W105" s="270"/>
      <c r="X105" s="270"/>
      <c r="Y105" s="270"/>
      <c r="Z105" s="270"/>
      <c r="AA105" s="270"/>
      <c r="AB105" s="12"/>
    </row>
    <row r="106" spans="1:28" ht="31.5" customHeight="1">
      <c r="A106" s="9"/>
      <c r="B106" s="974"/>
      <c r="C106" s="975"/>
      <c r="D106" s="975"/>
      <c r="E106" s="975"/>
      <c r="F106" s="975"/>
      <c r="G106" s="975"/>
      <c r="H106" s="976"/>
      <c r="I106" s="18"/>
      <c r="J106" s="980"/>
      <c r="K106" s="981"/>
      <c r="L106" s="981"/>
      <c r="M106" s="981"/>
      <c r="N106" s="981"/>
      <c r="O106" s="981"/>
      <c r="P106" s="982"/>
      <c r="Q106" s="10"/>
      <c r="R106" s="270"/>
      <c r="S106" s="270"/>
      <c r="T106" s="270"/>
      <c r="U106" s="270"/>
      <c r="V106" s="270"/>
      <c r="W106" s="270"/>
      <c r="X106" s="270"/>
      <c r="Y106" s="270"/>
      <c r="Z106" s="270"/>
      <c r="AA106" s="270"/>
      <c r="AB106" s="12"/>
    </row>
    <row r="107" spans="1:28" ht="31.5" customHeight="1">
      <c r="A107" s="9"/>
      <c r="B107" s="974"/>
      <c r="C107" s="975"/>
      <c r="D107" s="975"/>
      <c r="E107" s="975"/>
      <c r="F107" s="975"/>
      <c r="G107" s="975"/>
      <c r="H107" s="976"/>
      <c r="I107" s="18"/>
      <c r="J107" s="980"/>
      <c r="K107" s="981"/>
      <c r="L107" s="981"/>
      <c r="M107" s="981"/>
      <c r="N107" s="981"/>
      <c r="O107" s="981"/>
      <c r="P107" s="982"/>
      <c r="Q107" s="10"/>
      <c r="R107" s="270"/>
      <c r="S107" s="270"/>
      <c r="T107" s="270"/>
      <c r="U107" s="270"/>
      <c r="V107" s="270"/>
      <c r="W107" s="270"/>
      <c r="X107" s="270"/>
      <c r="Y107" s="270"/>
      <c r="Z107" s="270"/>
      <c r="AA107" s="270"/>
      <c r="AB107" s="12"/>
    </row>
    <row r="108" spans="1:28" ht="31.5" customHeight="1">
      <c r="A108" s="9"/>
      <c r="B108" s="974"/>
      <c r="C108" s="975"/>
      <c r="D108" s="975"/>
      <c r="E108" s="975"/>
      <c r="F108" s="975"/>
      <c r="G108" s="975"/>
      <c r="H108" s="976"/>
      <c r="I108" s="18"/>
      <c r="J108" s="980"/>
      <c r="K108" s="981"/>
      <c r="L108" s="981"/>
      <c r="M108" s="981"/>
      <c r="N108" s="981"/>
      <c r="O108" s="981"/>
      <c r="P108" s="982"/>
      <c r="Q108" s="10"/>
      <c r="R108" s="270"/>
      <c r="S108" s="270"/>
      <c r="T108" s="270"/>
      <c r="U108" s="270"/>
      <c r="V108" s="270"/>
      <c r="W108" s="270"/>
      <c r="X108" s="270"/>
      <c r="Y108" s="270"/>
      <c r="Z108" s="270"/>
      <c r="AA108" s="270"/>
      <c r="AB108" s="12"/>
    </row>
    <row r="109" spans="1:28" ht="31.5" customHeight="1">
      <c r="A109" s="9"/>
      <c r="B109" s="974"/>
      <c r="C109" s="975"/>
      <c r="D109" s="975"/>
      <c r="E109" s="975"/>
      <c r="F109" s="975"/>
      <c r="G109" s="975"/>
      <c r="H109" s="976"/>
      <c r="I109" s="18"/>
      <c r="J109" s="980"/>
      <c r="K109" s="981"/>
      <c r="L109" s="981"/>
      <c r="M109" s="981"/>
      <c r="N109" s="981"/>
      <c r="O109" s="981"/>
      <c r="P109" s="982"/>
      <c r="Q109" s="10"/>
      <c r="R109" s="270"/>
      <c r="S109" s="270"/>
      <c r="T109" s="270"/>
      <c r="U109" s="270"/>
      <c r="V109" s="270"/>
      <c r="W109" s="270"/>
      <c r="X109" s="270"/>
      <c r="Y109" s="270"/>
      <c r="Z109" s="270"/>
      <c r="AA109" s="270"/>
      <c r="AB109" s="12"/>
    </row>
    <row r="110" spans="1:28" ht="31.5" customHeight="1">
      <c r="A110" s="9"/>
      <c r="B110" s="977"/>
      <c r="C110" s="978"/>
      <c r="D110" s="978"/>
      <c r="E110" s="978"/>
      <c r="F110" s="978"/>
      <c r="G110" s="978"/>
      <c r="H110" s="979"/>
      <c r="I110" s="18"/>
      <c r="J110" s="983"/>
      <c r="K110" s="984"/>
      <c r="L110" s="984"/>
      <c r="M110" s="984"/>
      <c r="N110" s="984"/>
      <c r="O110" s="984"/>
      <c r="P110" s="985"/>
      <c r="Q110" s="10"/>
      <c r="R110" s="270"/>
      <c r="S110" s="270"/>
      <c r="T110" s="270"/>
      <c r="U110" s="270"/>
      <c r="V110" s="270"/>
      <c r="W110" s="270"/>
      <c r="X110" s="270"/>
      <c r="Y110" s="270"/>
      <c r="Z110" s="270"/>
      <c r="AA110" s="270"/>
      <c r="AB110" s="12"/>
    </row>
    <row r="111" spans="1:28">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2"/>
    </row>
    <row r="112" spans="1:28" ht="20">
      <c r="A112" s="9"/>
      <c r="B112" s="992" t="s">
        <v>646</v>
      </c>
      <c r="C112" s="993"/>
      <c r="D112" s="993"/>
      <c r="E112" s="993"/>
      <c r="F112" s="993"/>
      <c r="G112" s="993"/>
      <c r="H112" s="993"/>
      <c r="I112" s="993"/>
      <c r="J112" s="993"/>
      <c r="K112" s="993"/>
      <c r="L112" s="993"/>
      <c r="M112" s="993"/>
      <c r="N112" s="993"/>
      <c r="O112" s="993"/>
      <c r="P112" s="994"/>
      <c r="Q112" s="10"/>
      <c r="R112" s="1002" t="str">
        <f>Ongoing_Implementation!S48</f>
        <v>0/5</v>
      </c>
      <c r="S112" s="996"/>
      <c r="T112" s="10"/>
      <c r="U112" s="10"/>
      <c r="V112" s="10"/>
      <c r="W112" s="10"/>
      <c r="X112" s="10"/>
      <c r="Y112" s="10"/>
      <c r="Z112" s="10"/>
      <c r="AA112" s="10"/>
      <c r="AB112" s="12"/>
    </row>
    <row r="113" spans="1:28">
      <c r="A113" s="9"/>
      <c r="B113" s="29"/>
      <c r="C113" s="29"/>
      <c r="D113" s="29"/>
      <c r="E113" s="29"/>
      <c r="F113" s="29"/>
      <c r="G113" s="29"/>
      <c r="H113" s="29"/>
      <c r="I113" s="29"/>
      <c r="J113" s="29"/>
      <c r="K113" s="29"/>
      <c r="L113" s="29"/>
      <c r="M113" s="29"/>
      <c r="N113" s="29"/>
      <c r="O113" s="29"/>
      <c r="P113" s="29"/>
      <c r="Q113" s="10"/>
      <c r="R113" s="10"/>
      <c r="S113" s="10"/>
      <c r="T113" s="10"/>
      <c r="U113" s="10"/>
      <c r="V113" s="10"/>
      <c r="W113" s="10"/>
      <c r="X113" s="10"/>
      <c r="Y113" s="10"/>
      <c r="Z113" s="10"/>
      <c r="AA113" s="10"/>
      <c r="AB113" s="12"/>
    </row>
    <row r="114" spans="1:28" ht="22" customHeight="1">
      <c r="A114" s="9"/>
      <c r="B114" s="986" t="s">
        <v>1049</v>
      </c>
      <c r="C114" s="987"/>
      <c r="D114" s="987"/>
      <c r="E114" s="987"/>
      <c r="F114" s="987"/>
      <c r="G114" s="987"/>
      <c r="H114" s="988"/>
      <c r="I114" s="10"/>
      <c r="J114" s="989" t="s">
        <v>1050</v>
      </c>
      <c r="K114" s="990"/>
      <c r="L114" s="990"/>
      <c r="M114" s="990"/>
      <c r="N114" s="990"/>
      <c r="O114" s="990"/>
      <c r="P114" s="991"/>
      <c r="Q114" s="10"/>
      <c r="R114" s="271"/>
      <c r="S114" s="271"/>
      <c r="T114" s="271"/>
      <c r="U114" s="271"/>
      <c r="V114" s="271"/>
      <c r="W114" s="271"/>
      <c r="X114" s="271"/>
      <c r="Y114" s="271"/>
      <c r="Z114" s="271"/>
      <c r="AA114" s="271"/>
      <c r="AB114" s="12"/>
    </row>
    <row r="115" spans="1:28" s="145" customFormat="1" ht="30" customHeight="1">
      <c r="A115" s="329"/>
      <c r="B115" s="974" t="str">
        <f>IF(AE17=0,"FILL OUT MILESTONE 6: ONGOING IMPLEMENTATION QUESTIONNAIRE",Milestone_Results_Summary!I36)</f>
        <v>FILL OUT MILESTONE 6: ONGOING IMPLEMENTATION QUESTIONNAIRE</v>
      </c>
      <c r="C115" s="975"/>
      <c r="D115" s="975"/>
      <c r="E115" s="975"/>
      <c r="F115" s="975"/>
      <c r="G115" s="975"/>
      <c r="H115" s="976"/>
      <c r="I115" s="62"/>
      <c r="J115" s="980" t="str">
        <f>IF(AE17=0,"FILL OUT MILESTONE 6: ONGOING IMPLEMENTATION QUESTIONNAIRE",Milestone_Results_Summary!J36)</f>
        <v>FILL OUT MILESTONE 6: ONGOING IMPLEMENTATION QUESTIONNAIRE</v>
      </c>
      <c r="K115" s="981"/>
      <c r="L115" s="981"/>
      <c r="M115" s="981"/>
      <c r="N115" s="981"/>
      <c r="O115" s="981"/>
      <c r="P115" s="982"/>
      <c r="Q115" s="62"/>
      <c r="R115" s="271"/>
      <c r="S115" s="271"/>
      <c r="T115" s="271"/>
      <c r="U115" s="271"/>
      <c r="V115" s="271"/>
      <c r="W115" s="271"/>
      <c r="X115" s="271"/>
      <c r="Y115" s="271"/>
      <c r="Z115" s="271"/>
      <c r="AA115" s="271"/>
      <c r="AB115" s="257"/>
    </row>
    <row r="116" spans="1:28" s="145" customFormat="1" ht="30" customHeight="1">
      <c r="A116" s="329"/>
      <c r="B116" s="974"/>
      <c r="C116" s="975"/>
      <c r="D116" s="975"/>
      <c r="E116" s="975"/>
      <c r="F116" s="975"/>
      <c r="G116" s="975"/>
      <c r="H116" s="976"/>
      <c r="I116" s="62"/>
      <c r="J116" s="980"/>
      <c r="K116" s="981"/>
      <c r="L116" s="981"/>
      <c r="M116" s="981"/>
      <c r="N116" s="981"/>
      <c r="O116" s="981"/>
      <c r="P116" s="982"/>
      <c r="Q116" s="62"/>
      <c r="R116" s="271"/>
      <c r="S116" s="271"/>
      <c r="T116" s="271"/>
      <c r="U116" s="271"/>
      <c r="V116" s="271"/>
      <c r="W116" s="271"/>
      <c r="X116" s="271"/>
      <c r="Y116" s="271"/>
      <c r="Z116" s="271"/>
      <c r="AA116" s="271"/>
      <c r="AB116" s="257"/>
    </row>
    <row r="117" spans="1:28" s="145" customFormat="1" ht="30" customHeight="1">
      <c r="A117" s="329"/>
      <c r="B117" s="974"/>
      <c r="C117" s="975"/>
      <c r="D117" s="975"/>
      <c r="E117" s="975"/>
      <c r="F117" s="975"/>
      <c r="G117" s="975"/>
      <c r="H117" s="976"/>
      <c r="I117" s="62"/>
      <c r="J117" s="980"/>
      <c r="K117" s="981"/>
      <c r="L117" s="981"/>
      <c r="M117" s="981"/>
      <c r="N117" s="981"/>
      <c r="O117" s="981"/>
      <c r="P117" s="982"/>
      <c r="Q117" s="62"/>
      <c r="R117" s="271"/>
      <c r="S117" s="271"/>
      <c r="T117" s="271"/>
      <c r="U117" s="271"/>
      <c r="V117" s="271"/>
      <c r="W117" s="271"/>
      <c r="X117" s="271"/>
      <c r="Y117" s="271"/>
      <c r="Z117" s="271"/>
      <c r="AA117" s="271"/>
      <c r="AB117" s="257"/>
    </row>
    <row r="118" spans="1:28" s="145" customFormat="1" ht="30" customHeight="1">
      <c r="A118" s="329"/>
      <c r="B118" s="974"/>
      <c r="C118" s="975"/>
      <c r="D118" s="975"/>
      <c r="E118" s="975"/>
      <c r="F118" s="975"/>
      <c r="G118" s="975"/>
      <c r="H118" s="976"/>
      <c r="I118" s="62"/>
      <c r="J118" s="980"/>
      <c r="K118" s="981"/>
      <c r="L118" s="981"/>
      <c r="M118" s="981"/>
      <c r="N118" s="981"/>
      <c r="O118" s="981"/>
      <c r="P118" s="982"/>
      <c r="Q118" s="62"/>
      <c r="R118" s="271"/>
      <c r="S118" s="271"/>
      <c r="T118" s="271"/>
      <c r="U118" s="271"/>
      <c r="V118" s="271"/>
      <c r="W118" s="271"/>
      <c r="X118" s="271"/>
      <c r="Y118" s="271"/>
      <c r="Z118" s="271"/>
      <c r="AA118" s="271"/>
      <c r="AB118" s="257"/>
    </row>
    <row r="119" spans="1:28" s="145" customFormat="1" ht="30" customHeight="1">
      <c r="A119" s="329"/>
      <c r="B119" s="974"/>
      <c r="C119" s="975"/>
      <c r="D119" s="975"/>
      <c r="E119" s="975"/>
      <c r="F119" s="975"/>
      <c r="G119" s="975"/>
      <c r="H119" s="976"/>
      <c r="I119" s="62"/>
      <c r="J119" s="980"/>
      <c r="K119" s="981"/>
      <c r="L119" s="981"/>
      <c r="M119" s="981"/>
      <c r="N119" s="981"/>
      <c r="O119" s="981"/>
      <c r="P119" s="982"/>
      <c r="Q119" s="62"/>
      <c r="R119" s="271"/>
      <c r="S119" s="271"/>
      <c r="T119" s="271"/>
      <c r="U119" s="271"/>
      <c r="V119" s="271"/>
      <c r="W119" s="271"/>
      <c r="X119" s="271"/>
      <c r="Y119" s="271"/>
      <c r="Z119" s="271"/>
      <c r="AA119" s="271"/>
      <c r="AB119" s="257"/>
    </row>
    <row r="120" spans="1:28" s="145" customFormat="1" ht="30" customHeight="1">
      <c r="A120" s="329"/>
      <c r="B120" s="974"/>
      <c r="C120" s="975"/>
      <c r="D120" s="975"/>
      <c r="E120" s="975"/>
      <c r="F120" s="975"/>
      <c r="G120" s="975"/>
      <c r="H120" s="976"/>
      <c r="I120" s="62"/>
      <c r="J120" s="980"/>
      <c r="K120" s="981"/>
      <c r="L120" s="981"/>
      <c r="M120" s="981"/>
      <c r="N120" s="981"/>
      <c r="O120" s="981"/>
      <c r="P120" s="982"/>
      <c r="Q120" s="62"/>
      <c r="R120" s="271"/>
      <c r="S120" s="271"/>
      <c r="T120" s="271"/>
      <c r="U120" s="271"/>
      <c r="V120" s="271"/>
      <c r="W120" s="271"/>
      <c r="X120" s="271"/>
      <c r="Y120" s="271"/>
      <c r="Z120" s="271"/>
      <c r="AA120" s="271"/>
      <c r="AB120" s="257"/>
    </row>
    <row r="121" spans="1:28" s="145" customFormat="1" ht="30" customHeight="1">
      <c r="A121" s="329"/>
      <c r="B121" s="974"/>
      <c r="C121" s="975"/>
      <c r="D121" s="975"/>
      <c r="E121" s="975"/>
      <c r="F121" s="975"/>
      <c r="G121" s="975"/>
      <c r="H121" s="976"/>
      <c r="I121" s="62"/>
      <c r="J121" s="980"/>
      <c r="K121" s="981"/>
      <c r="L121" s="981"/>
      <c r="M121" s="981"/>
      <c r="N121" s="981"/>
      <c r="O121" s="981"/>
      <c r="P121" s="982"/>
      <c r="Q121" s="62"/>
      <c r="R121" s="271"/>
      <c r="S121" s="271"/>
      <c r="T121" s="271"/>
      <c r="U121" s="271"/>
      <c r="V121" s="271"/>
      <c r="W121" s="271"/>
      <c r="X121" s="271"/>
      <c r="Y121" s="271"/>
      <c r="Z121" s="271"/>
      <c r="AA121" s="271"/>
      <c r="AB121" s="257"/>
    </row>
    <row r="122" spans="1:28" s="145" customFormat="1" ht="30" customHeight="1">
      <c r="A122" s="329"/>
      <c r="B122" s="974"/>
      <c r="C122" s="975"/>
      <c r="D122" s="975"/>
      <c r="E122" s="975"/>
      <c r="F122" s="975"/>
      <c r="G122" s="975"/>
      <c r="H122" s="976"/>
      <c r="I122" s="62"/>
      <c r="J122" s="980"/>
      <c r="K122" s="981"/>
      <c r="L122" s="981"/>
      <c r="M122" s="981"/>
      <c r="N122" s="981"/>
      <c r="O122" s="981"/>
      <c r="P122" s="982"/>
      <c r="Q122" s="62"/>
      <c r="R122" s="271"/>
      <c r="S122" s="271"/>
      <c r="T122" s="271"/>
      <c r="U122" s="271"/>
      <c r="V122" s="271"/>
      <c r="W122" s="271"/>
      <c r="X122" s="271"/>
      <c r="Y122" s="271"/>
      <c r="Z122" s="271"/>
      <c r="AA122" s="271"/>
      <c r="AB122" s="257"/>
    </row>
    <row r="123" spans="1:28" s="145" customFormat="1" ht="30" customHeight="1">
      <c r="A123" s="329"/>
      <c r="B123" s="974"/>
      <c r="C123" s="975"/>
      <c r="D123" s="975"/>
      <c r="E123" s="975"/>
      <c r="F123" s="975"/>
      <c r="G123" s="975"/>
      <c r="H123" s="976"/>
      <c r="I123" s="62"/>
      <c r="J123" s="980"/>
      <c r="K123" s="981"/>
      <c r="L123" s="981"/>
      <c r="M123" s="981"/>
      <c r="N123" s="981"/>
      <c r="O123" s="981"/>
      <c r="P123" s="982"/>
      <c r="Q123" s="62"/>
      <c r="R123" s="271"/>
      <c r="S123" s="271"/>
      <c r="T123" s="271"/>
      <c r="U123" s="271"/>
      <c r="V123" s="271"/>
      <c r="W123" s="271"/>
      <c r="X123" s="271"/>
      <c r="Y123" s="271"/>
      <c r="Z123" s="271"/>
      <c r="AA123" s="271"/>
      <c r="AB123" s="257"/>
    </row>
    <row r="124" spans="1:28" s="145" customFormat="1" ht="30" customHeight="1">
      <c r="A124" s="329"/>
      <c r="B124" s="974"/>
      <c r="C124" s="975"/>
      <c r="D124" s="975"/>
      <c r="E124" s="975"/>
      <c r="F124" s="975"/>
      <c r="G124" s="975"/>
      <c r="H124" s="976"/>
      <c r="I124" s="62"/>
      <c r="J124" s="980"/>
      <c r="K124" s="981"/>
      <c r="L124" s="981"/>
      <c r="M124" s="981"/>
      <c r="N124" s="981"/>
      <c r="O124" s="981"/>
      <c r="P124" s="982"/>
      <c r="Q124" s="62"/>
      <c r="R124" s="271"/>
      <c r="S124" s="271"/>
      <c r="T124" s="271"/>
      <c r="U124" s="271"/>
      <c r="V124" s="271"/>
      <c r="W124" s="271"/>
      <c r="X124" s="271"/>
      <c r="Y124" s="271"/>
      <c r="Z124" s="271"/>
      <c r="AA124" s="271"/>
      <c r="AB124" s="257"/>
    </row>
    <row r="125" spans="1:28" s="145" customFormat="1" ht="30" customHeight="1">
      <c r="A125" s="329"/>
      <c r="B125" s="974"/>
      <c r="C125" s="975"/>
      <c r="D125" s="975"/>
      <c r="E125" s="975"/>
      <c r="F125" s="975"/>
      <c r="G125" s="975"/>
      <c r="H125" s="976"/>
      <c r="I125" s="62"/>
      <c r="J125" s="980"/>
      <c r="K125" s="981"/>
      <c r="L125" s="981"/>
      <c r="M125" s="981"/>
      <c r="N125" s="981"/>
      <c r="O125" s="981"/>
      <c r="P125" s="982"/>
      <c r="Q125" s="62"/>
      <c r="R125" s="271"/>
      <c r="S125" s="271"/>
      <c r="T125" s="271"/>
      <c r="U125" s="271"/>
      <c r="V125" s="271"/>
      <c r="W125" s="271"/>
      <c r="X125" s="271"/>
      <c r="Y125" s="271"/>
      <c r="Z125" s="271"/>
      <c r="AA125" s="271"/>
      <c r="AB125" s="257"/>
    </row>
    <row r="126" spans="1:28" s="145" customFormat="1" ht="30" customHeight="1">
      <c r="A126" s="329"/>
      <c r="B126" s="974"/>
      <c r="C126" s="975"/>
      <c r="D126" s="975"/>
      <c r="E126" s="975"/>
      <c r="F126" s="975"/>
      <c r="G126" s="975"/>
      <c r="H126" s="976"/>
      <c r="I126" s="62"/>
      <c r="J126" s="980"/>
      <c r="K126" s="981"/>
      <c r="L126" s="981"/>
      <c r="M126" s="981"/>
      <c r="N126" s="981"/>
      <c r="O126" s="981"/>
      <c r="P126" s="982"/>
      <c r="Q126" s="62"/>
      <c r="R126" s="62"/>
      <c r="S126" s="62"/>
      <c r="T126" s="62"/>
      <c r="U126" s="62"/>
      <c r="V126" s="62"/>
      <c r="W126" s="62"/>
      <c r="X126" s="62"/>
      <c r="Y126" s="62"/>
      <c r="Z126" s="62"/>
      <c r="AA126" s="62"/>
      <c r="AB126" s="257"/>
    </row>
    <row r="127" spans="1:28" s="145" customFormat="1" ht="30" customHeight="1">
      <c r="A127" s="329"/>
      <c r="B127" s="977"/>
      <c r="C127" s="978"/>
      <c r="D127" s="978"/>
      <c r="E127" s="978"/>
      <c r="F127" s="978"/>
      <c r="G127" s="978"/>
      <c r="H127" s="979"/>
      <c r="I127" s="62"/>
      <c r="J127" s="983"/>
      <c r="K127" s="984"/>
      <c r="L127" s="984"/>
      <c r="M127" s="984"/>
      <c r="N127" s="984"/>
      <c r="O127" s="984"/>
      <c r="P127" s="985"/>
      <c r="Q127" s="62"/>
      <c r="R127" s="62"/>
      <c r="S127" s="62"/>
      <c r="T127" s="62"/>
      <c r="U127" s="62"/>
      <c r="V127" s="62"/>
      <c r="W127" s="62"/>
      <c r="X127" s="62"/>
      <c r="Y127" s="62"/>
      <c r="Z127" s="62"/>
      <c r="AA127" s="62"/>
      <c r="AB127" s="257"/>
    </row>
    <row r="128" spans="1:28" ht="17" thickBot="1">
      <c r="A128" s="1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6"/>
    </row>
  </sheetData>
  <mergeCells count="71">
    <mergeCell ref="J19:N19"/>
    <mergeCell ref="C24:I24"/>
    <mergeCell ref="C25:I25"/>
    <mergeCell ref="J20:N20"/>
    <mergeCell ref="J21:N21"/>
    <mergeCell ref="J22:N22"/>
    <mergeCell ref="J23:N23"/>
    <mergeCell ref="J24:N24"/>
    <mergeCell ref="J25:N25"/>
    <mergeCell ref="C20:I20"/>
    <mergeCell ref="C21:I21"/>
    <mergeCell ref="C22:I22"/>
    <mergeCell ref="C23:I23"/>
    <mergeCell ref="C19:I19"/>
    <mergeCell ref="C14:I14"/>
    <mergeCell ref="C15:I15"/>
    <mergeCell ref="C16:I16"/>
    <mergeCell ref="C17:I17"/>
    <mergeCell ref="J13:N13"/>
    <mergeCell ref="J14:N14"/>
    <mergeCell ref="J15:N15"/>
    <mergeCell ref="J16:N16"/>
    <mergeCell ref="J17:N17"/>
    <mergeCell ref="C11:I11"/>
    <mergeCell ref="J11:N11"/>
    <mergeCell ref="J12:N12"/>
    <mergeCell ref="C12:I12"/>
    <mergeCell ref="C13:I13"/>
    <mergeCell ref="B115:H127"/>
    <mergeCell ref="J115:P127"/>
    <mergeCell ref="B112:P112"/>
    <mergeCell ref="B78:P78"/>
    <mergeCell ref="B98:H110"/>
    <mergeCell ref="J98:P110"/>
    <mergeCell ref="B97:H97"/>
    <mergeCell ref="J97:P97"/>
    <mergeCell ref="B95:P95"/>
    <mergeCell ref="B114:H114"/>
    <mergeCell ref="J114:P114"/>
    <mergeCell ref="U98:Z102"/>
    <mergeCell ref="R78:S78"/>
    <mergeCell ref="B3:N8"/>
    <mergeCell ref="R112:S112"/>
    <mergeCell ref="B30:H42"/>
    <mergeCell ref="B47:H59"/>
    <mergeCell ref="B29:H29"/>
    <mergeCell ref="J29:P29"/>
    <mergeCell ref="R38:AA38"/>
    <mergeCell ref="R95:S95"/>
    <mergeCell ref="J63:P63"/>
    <mergeCell ref="R44:S44"/>
    <mergeCell ref="B44:P44"/>
    <mergeCell ref="B61:P61"/>
    <mergeCell ref="R61:S61"/>
    <mergeCell ref="C10:I10"/>
    <mergeCell ref="A1:AB1"/>
    <mergeCell ref="B81:H93"/>
    <mergeCell ref="J47:P59"/>
    <mergeCell ref="J64:P76"/>
    <mergeCell ref="J81:P93"/>
    <mergeCell ref="B80:H80"/>
    <mergeCell ref="J80:P80"/>
    <mergeCell ref="B64:H76"/>
    <mergeCell ref="J30:P42"/>
    <mergeCell ref="B46:H46"/>
    <mergeCell ref="J46:P46"/>
    <mergeCell ref="B63:H63"/>
    <mergeCell ref="B27:P27"/>
    <mergeCell ref="R27:S27"/>
    <mergeCell ref="J10:N10"/>
    <mergeCell ref="B10:B11"/>
  </mergeCells>
  <phoneticPr fontId="6" type="noConversion"/>
  <conditionalFormatting sqref="B27:D28">
    <cfRule type="expression" dxfId="6" priority="26">
      <formula>$N$50</formula>
    </cfRule>
  </conditionalFormatting>
  <conditionalFormatting sqref="B44:D45">
    <cfRule type="expression" dxfId="5" priority="7">
      <formula>$N$50</formula>
    </cfRule>
  </conditionalFormatting>
  <conditionalFormatting sqref="B61:D62">
    <cfRule type="expression" dxfId="4" priority="6">
      <formula>$N$50</formula>
    </cfRule>
  </conditionalFormatting>
  <conditionalFormatting sqref="B78:D79">
    <cfRule type="expression" dxfId="3" priority="5">
      <formula>$N$50</formula>
    </cfRule>
  </conditionalFormatting>
  <conditionalFormatting sqref="B95:D96">
    <cfRule type="expression" dxfId="2" priority="4">
      <formula>$N$50</formula>
    </cfRule>
  </conditionalFormatting>
  <conditionalFormatting sqref="B112:D113">
    <cfRule type="expression" dxfId="1" priority="3">
      <formula>$N$50</formula>
    </cfRule>
  </conditionalFormatting>
  <conditionalFormatting sqref="B43:G43">
    <cfRule type="expression" dxfId="0" priority="16">
      <formula>$N$50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97D9-EF9E-41B9-9EF1-284BD5C944D0}">
  <sheetPr codeName="Sheet10"/>
  <dimension ref="A1:K36"/>
  <sheetViews>
    <sheetView workbookViewId="0"/>
  </sheetViews>
  <sheetFormatPr baseColWidth="10" defaultColWidth="8.6640625" defaultRowHeight="13"/>
  <cols>
    <col min="1" max="1" width="89.33203125" style="310" bestFit="1" customWidth="1"/>
    <col min="2" max="2" width="14.6640625" style="331" bestFit="1" customWidth="1"/>
    <col min="3" max="3" width="14.33203125" style="331" bestFit="1" customWidth="1"/>
    <col min="4" max="4" width="8.6640625" style="331"/>
    <col min="5" max="5" width="8.6640625" style="310"/>
    <col min="6" max="6" width="10.1640625" style="310" bestFit="1" customWidth="1"/>
    <col min="7" max="7" width="14.6640625" style="331" bestFit="1" customWidth="1"/>
    <col min="8" max="8" width="13.5" style="331" bestFit="1" customWidth="1"/>
    <col min="9" max="10" width="8.6640625" style="310"/>
    <col min="11" max="11" width="10.1640625" style="310" bestFit="1" customWidth="1"/>
    <col min="12" max="16384" width="8.6640625" style="310"/>
  </cols>
  <sheetData>
    <row r="1" spans="1:11">
      <c r="F1" s="339"/>
      <c r="G1" s="302"/>
      <c r="H1" s="302"/>
      <c r="I1" s="339"/>
      <c r="J1" s="339"/>
    </row>
    <row r="2" spans="1:11">
      <c r="A2" s="330" t="str">
        <f>Milestone_Results_Summary!A2</f>
        <v xml:space="preserve">Milestone 1: Establish Greenhouse Gas Inventory and Scope of Work </v>
      </c>
      <c r="B2" s="331" t="str">
        <f>Milestone_Results_Summary!C2</f>
        <v xml:space="preserve">Weighted_Score </v>
      </c>
      <c r="C2" s="331" t="str">
        <f>Milestone_Results_Summary!D2</f>
        <v>Task_Total</v>
      </c>
      <c r="D2" s="331" t="s">
        <v>732</v>
      </c>
      <c r="G2" s="339" t="s">
        <v>731</v>
      </c>
      <c r="H2" s="339" t="s">
        <v>734</v>
      </c>
      <c r="I2" s="339" t="s">
        <v>736</v>
      </c>
      <c r="J2" s="339" t="s">
        <v>737</v>
      </c>
      <c r="K2" s="339" t="s">
        <v>735</v>
      </c>
    </row>
    <row r="3" spans="1:11">
      <c r="A3" s="310" t="s">
        <v>739</v>
      </c>
      <c r="B3" s="335">
        <f>Milestone_Results_Summary!C3</f>
        <v>0</v>
      </c>
      <c r="C3" s="331">
        <f>Milestone_Results_Summary!D3</f>
        <v>4</v>
      </c>
      <c r="D3" s="332">
        <f>B3/C3</f>
        <v>0</v>
      </c>
      <c r="F3" s="310" t="s">
        <v>764</v>
      </c>
      <c r="G3" s="333">
        <f>H15</f>
        <v>0</v>
      </c>
      <c r="H3" s="333">
        <f>H17</f>
        <v>0</v>
      </c>
      <c r="I3" s="334">
        <f>H19</f>
        <v>0</v>
      </c>
      <c r="J3" s="334">
        <f>H21</f>
        <v>0</v>
      </c>
      <c r="K3" s="334">
        <f>H23</f>
        <v>0</v>
      </c>
    </row>
    <row r="4" spans="1:11">
      <c r="A4" s="310" t="s">
        <v>738</v>
      </c>
      <c r="B4" s="335">
        <f>Milestone_Results_Summary!C4</f>
        <v>0</v>
      </c>
      <c r="C4" s="331">
        <f>Milestone_Results_Summary!D4</f>
        <v>5</v>
      </c>
      <c r="D4" s="332">
        <f t="shared" ref="D4:D35" si="0">B4/C4</f>
        <v>0</v>
      </c>
      <c r="F4" s="310" t="s">
        <v>763</v>
      </c>
      <c r="G4" s="331">
        <v>7</v>
      </c>
      <c r="H4" s="331">
        <v>7</v>
      </c>
      <c r="I4" s="310">
        <v>12</v>
      </c>
      <c r="J4" s="310">
        <v>12</v>
      </c>
      <c r="K4" s="310">
        <v>7</v>
      </c>
    </row>
    <row r="5" spans="1:11">
      <c r="A5" s="310" t="s">
        <v>740</v>
      </c>
      <c r="B5" s="335">
        <f>Milestone_Results_Summary!C5</f>
        <v>0</v>
      </c>
      <c r="C5" s="331">
        <f>Milestone_Results_Summary!D5</f>
        <v>3</v>
      </c>
      <c r="D5" s="332">
        <f t="shared" si="0"/>
        <v>0</v>
      </c>
      <c r="F5" s="310" t="s">
        <v>765</v>
      </c>
      <c r="G5" s="331">
        <v>5</v>
      </c>
      <c r="H5" s="331">
        <v>5</v>
      </c>
      <c r="I5" s="310">
        <v>10</v>
      </c>
      <c r="J5" s="310">
        <v>10</v>
      </c>
      <c r="K5" s="310">
        <v>5</v>
      </c>
    </row>
    <row r="6" spans="1:11">
      <c r="A6" s="310" t="s">
        <v>741</v>
      </c>
      <c r="B6" s="335">
        <f>Milestone_Results_Summary!C6</f>
        <v>0</v>
      </c>
      <c r="C6" s="331">
        <f>Milestone_Results_Summary!D6</f>
        <v>3</v>
      </c>
      <c r="D6" s="332">
        <f t="shared" si="0"/>
        <v>0</v>
      </c>
      <c r="F6" s="310" t="s">
        <v>766</v>
      </c>
      <c r="G6" s="331">
        <v>5</v>
      </c>
      <c r="H6" s="331">
        <v>5</v>
      </c>
      <c r="I6" s="310">
        <v>8</v>
      </c>
      <c r="J6" s="310">
        <v>8</v>
      </c>
      <c r="K6" s="310">
        <v>5</v>
      </c>
    </row>
    <row r="7" spans="1:11">
      <c r="B7" s="335">
        <f>Milestone_Results_Summary!C7</f>
        <v>0</v>
      </c>
      <c r="C7" s="331">
        <f>Milestone_Results_Summary!D7</f>
        <v>15</v>
      </c>
      <c r="F7" s="310" t="s">
        <v>767</v>
      </c>
      <c r="G7" s="331">
        <v>5</v>
      </c>
      <c r="H7" s="331">
        <v>5</v>
      </c>
      <c r="I7" s="310">
        <v>7</v>
      </c>
      <c r="J7" s="310">
        <v>7</v>
      </c>
      <c r="K7" s="310">
        <v>5</v>
      </c>
    </row>
    <row r="8" spans="1:11">
      <c r="A8" s="330" t="str">
        <f>Milestone_Results_Summary!A8</f>
        <v>Milestone 2: Categorize Portfolio</v>
      </c>
      <c r="B8" s="335" t="str">
        <f>Milestone_Results_Summary!C8</f>
        <v xml:space="preserve">Weighted_Score </v>
      </c>
      <c r="C8" s="331" t="str">
        <f>Milestone_Results_Summary!D8</f>
        <v>Milestone_Total</v>
      </c>
      <c r="D8" s="331" t="s">
        <v>732</v>
      </c>
    </row>
    <row r="9" spans="1:11">
      <c r="A9" s="310" t="s">
        <v>742</v>
      </c>
      <c r="B9" s="335">
        <f>Milestone_Results_Summary!C9</f>
        <v>0</v>
      </c>
      <c r="C9" s="331">
        <f>Milestone_Results_Summary!D9</f>
        <v>2</v>
      </c>
      <c r="D9" s="332">
        <f t="shared" si="0"/>
        <v>0</v>
      </c>
      <c r="F9" s="310" t="str">
        <f>F25</f>
        <v xml:space="preserve">Milestone 6: Ongoing Implementation </v>
      </c>
      <c r="G9" s="333">
        <f>H25</f>
        <v>0</v>
      </c>
      <c r="H9" s="310" t="s">
        <v>765</v>
      </c>
      <c r="I9" s="310">
        <v>2</v>
      </c>
      <c r="J9" s="310" t="s">
        <v>763</v>
      </c>
      <c r="K9" s="310">
        <v>3</v>
      </c>
    </row>
    <row r="10" spans="1:11">
      <c r="A10" s="310" t="s">
        <v>758</v>
      </c>
      <c r="B10" s="335">
        <f>Milestone_Results_Summary!C10</f>
        <v>0</v>
      </c>
      <c r="C10" s="331">
        <f>Milestone_Results_Summary!D10</f>
        <v>6</v>
      </c>
      <c r="D10" s="332">
        <f t="shared" si="0"/>
        <v>0</v>
      </c>
      <c r="G10" s="333"/>
      <c r="H10" s="310" t="s">
        <v>766</v>
      </c>
      <c r="I10" s="310">
        <v>2</v>
      </c>
      <c r="J10" s="310" t="s">
        <v>768</v>
      </c>
      <c r="K10" s="310">
        <f>K9-K11</f>
        <v>2</v>
      </c>
    </row>
    <row r="11" spans="1:11">
      <c r="A11" s="310" t="s">
        <v>759</v>
      </c>
      <c r="B11" s="335">
        <f>Milestone_Results_Summary!C11</f>
        <v>0</v>
      </c>
      <c r="C11" s="331">
        <f>Milestone_Results_Summary!D11</f>
        <v>4</v>
      </c>
      <c r="D11" s="332">
        <f t="shared" si="0"/>
        <v>0</v>
      </c>
      <c r="H11" s="310" t="s">
        <v>767</v>
      </c>
      <c r="I11" s="310">
        <v>1</v>
      </c>
      <c r="J11" s="310" t="s">
        <v>769</v>
      </c>
      <c r="K11" s="310">
        <v>1</v>
      </c>
    </row>
    <row r="12" spans="1:11">
      <c r="A12" s="310" t="s">
        <v>743</v>
      </c>
      <c r="B12" s="335">
        <f>Milestone_Results_Summary!C12</f>
        <v>0</v>
      </c>
      <c r="C12" s="331">
        <f>Milestone_Results_Summary!D12</f>
        <v>3</v>
      </c>
      <c r="D12" s="332">
        <f t="shared" si="0"/>
        <v>0</v>
      </c>
      <c r="J12" s="310" t="s">
        <v>770</v>
      </c>
      <c r="K12" s="310">
        <f>5-K9</f>
        <v>2</v>
      </c>
    </row>
    <row r="13" spans="1:11">
      <c r="B13" s="335">
        <f>Milestone_Results_Summary!C13</f>
        <v>0</v>
      </c>
      <c r="C13" s="331">
        <f>Milestone_Results_Summary!D13</f>
        <v>15</v>
      </c>
    </row>
    <row r="14" spans="1:11">
      <c r="A14" s="330" t="str">
        <f>Milestone_Results_Summary!A14</f>
        <v>Milestone 3: Assess Measures</v>
      </c>
      <c r="B14" s="335" t="str">
        <f>Milestone_Results_Summary!C14</f>
        <v xml:space="preserve">Weighted_Score </v>
      </c>
      <c r="C14" s="331" t="str">
        <f>Milestone_Results_Summary!D14</f>
        <v>Milestone_Total</v>
      </c>
      <c r="D14" s="331" t="s">
        <v>732</v>
      </c>
      <c r="F14" s="339"/>
      <c r="G14" s="331" t="s">
        <v>771</v>
      </c>
      <c r="H14" s="331" t="str">
        <f>B2</f>
        <v xml:space="preserve">Weighted_Score </v>
      </c>
    </row>
    <row r="15" spans="1:11">
      <c r="A15" s="310" t="s">
        <v>744</v>
      </c>
      <c r="B15" s="335">
        <f>Milestone_Results_Summary!C15</f>
        <v>0</v>
      </c>
      <c r="C15" s="331">
        <f>Milestone_Results_Summary!D15</f>
        <v>15</v>
      </c>
      <c r="D15" s="332">
        <f t="shared" si="0"/>
        <v>0</v>
      </c>
      <c r="F15" s="339" t="str">
        <f>A2</f>
        <v xml:space="preserve">Milestone 1: Establish Greenhouse Gas Inventory and Scope of Work </v>
      </c>
      <c r="G15" s="331">
        <f>C7</f>
        <v>15</v>
      </c>
      <c r="H15" s="333">
        <f>B7</f>
        <v>0</v>
      </c>
    </row>
    <row r="16" spans="1:11">
      <c r="A16" s="310" t="s">
        <v>745</v>
      </c>
      <c r="B16" s="335">
        <f>Milestone_Results_Summary!C16</f>
        <v>0</v>
      </c>
      <c r="C16" s="331">
        <f>Milestone_Results_Summary!D16</f>
        <v>10</v>
      </c>
      <c r="D16" s="332">
        <f t="shared" si="0"/>
        <v>0</v>
      </c>
      <c r="F16" s="310" t="s">
        <v>772</v>
      </c>
      <c r="H16" s="333">
        <f>G15-H15</f>
        <v>15</v>
      </c>
    </row>
    <row r="17" spans="1:10">
      <c r="B17" s="335">
        <f>Milestone_Results_Summary!C17</f>
        <v>0</v>
      </c>
      <c r="C17" s="331">
        <f>Milestone_Results_Summary!D17</f>
        <v>25</v>
      </c>
      <c r="F17" s="339" t="str">
        <f>A8</f>
        <v>Milestone 2: Categorize Portfolio</v>
      </c>
      <c r="G17" s="331">
        <f>C13</f>
        <v>15</v>
      </c>
      <c r="H17" s="333">
        <f>B13</f>
        <v>0</v>
      </c>
    </row>
    <row r="18" spans="1:10">
      <c r="A18" s="330" t="str">
        <f>Milestone_Results_Summary!A18</f>
        <v>Milestone 4: Develop Scenarios</v>
      </c>
      <c r="B18" s="335" t="str">
        <f>Milestone_Results_Summary!C18</f>
        <v xml:space="preserve">Weighted_Score </v>
      </c>
      <c r="C18" s="331" t="str">
        <f>Milestone_Results_Summary!D18</f>
        <v>Milestone_Total</v>
      </c>
      <c r="D18" s="331" t="s">
        <v>732</v>
      </c>
      <c r="F18" s="310" t="s">
        <v>773</v>
      </c>
      <c r="H18" s="333">
        <f>G17-H17</f>
        <v>15</v>
      </c>
    </row>
    <row r="19" spans="1:10">
      <c r="A19" s="310" t="s">
        <v>760</v>
      </c>
      <c r="B19" s="335">
        <f>Milestone_Results_Summary!C19</f>
        <v>0</v>
      </c>
      <c r="C19" s="331">
        <f>Milestone_Results_Summary!D19</f>
        <v>8</v>
      </c>
      <c r="D19" s="332">
        <f t="shared" si="0"/>
        <v>0</v>
      </c>
      <c r="F19" s="339" t="str">
        <f>A14</f>
        <v>Milestone 3: Assess Measures</v>
      </c>
      <c r="G19" s="331">
        <f>C17</f>
        <v>25</v>
      </c>
      <c r="H19" s="333">
        <f>B17</f>
        <v>0</v>
      </c>
    </row>
    <row r="20" spans="1:10">
      <c r="A20" s="310" t="s">
        <v>746</v>
      </c>
      <c r="B20" s="335">
        <f>Milestone_Results_Summary!C20</f>
        <v>0</v>
      </c>
      <c r="C20" s="331">
        <f>Milestone_Results_Summary!D20</f>
        <v>3</v>
      </c>
      <c r="D20" s="332">
        <f t="shared" si="0"/>
        <v>0</v>
      </c>
      <c r="F20" s="310" t="s">
        <v>774</v>
      </c>
      <c r="H20" s="333">
        <f>G19-H19</f>
        <v>25</v>
      </c>
    </row>
    <row r="21" spans="1:10">
      <c r="A21" s="310" t="s">
        <v>747</v>
      </c>
      <c r="B21" s="335">
        <f>Milestone_Results_Summary!C21</f>
        <v>0</v>
      </c>
      <c r="C21" s="331">
        <f>Milestone_Results_Summary!D21</f>
        <v>1</v>
      </c>
      <c r="D21" s="332">
        <f t="shared" si="0"/>
        <v>0</v>
      </c>
      <c r="F21" s="339" t="str">
        <f>A18</f>
        <v>Milestone 4: Develop Scenarios</v>
      </c>
      <c r="G21" s="331">
        <f>C24</f>
        <v>25</v>
      </c>
      <c r="H21" s="333">
        <f>B24</f>
        <v>0</v>
      </c>
    </row>
    <row r="22" spans="1:10">
      <c r="A22" s="310" t="s">
        <v>748</v>
      </c>
      <c r="B22" s="335">
        <f>Milestone_Results_Summary!C22</f>
        <v>0</v>
      </c>
      <c r="C22" s="331">
        <f>Milestone_Results_Summary!D22</f>
        <v>10</v>
      </c>
      <c r="D22" s="332">
        <f t="shared" si="0"/>
        <v>0</v>
      </c>
      <c r="F22" s="310" t="s">
        <v>775</v>
      </c>
      <c r="H22" s="333">
        <f>G21-H21</f>
        <v>25</v>
      </c>
    </row>
    <row r="23" spans="1:10">
      <c r="A23" s="310" t="s">
        <v>749</v>
      </c>
      <c r="B23" s="335">
        <f>Milestone_Results_Summary!C23</f>
        <v>0</v>
      </c>
      <c r="C23" s="331">
        <f>Milestone_Results_Summary!D23</f>
        <v>3</v>
      </c>
      <c r="D23" s="332">
        <f t="shared" si="0"/>
        <v>0</v>
      </c>
      <c r="F23" s="339" t="str">
        <f>A25</f>
        <v>Milestone 5: Define Emissions Reduction Plan</v>
      </c>
      <c r="G23" s="331">
        <f>C30</f>
        <v>15</v>
      </c>
      <c r="H23" s="333">
        <f>B30</f>
        <v>0</v>
      </c>
    </row>
    <row r="24" spans="1:10">
      <c r="B24" s="335">
        <f>Milestone_Results_Summary!C24</f>
        <v>0</v>
      </c>
      <c r="C24" s="331">
        <f>Milestone_Results_Summary!D24</f>
        <v>25</v>
      </c>
      <c r="F24" s="310" t="s">
        <v>776</v>
      </c>
      <c r="H24" s="333">
        <f>G23-H23</f>
        <v>15</v>
      </c>
      <c r="J24" s="336"/>
    </row>
    <row r="25" spans="1:10">
      <c r="A25" s="330" t="str">
        <f>Milestone_Results_Summary!A25</f>
        <v>Milestone 5: Define Emissions Reduction Plan</v>
      </c>
      <c r="B25" s="335" t="str">
        <f>Milestone_Results_Summary!C25</f>
        <v xml:space="preserve">Weighted_Score </v>
      </c>
      <c r="C25" s="331" t="str">
        <f>Milestone_Results_Summary!D25</f>
        <v>Milestone_Total</v>
      </c>
      <c r="D25" s="331" t="s">
        <v>732</v>
      </c>
      <c r="F25" s="339" t="str">
        <f>A31</f>
        <v xml:space="preserve">Milestone 6: Ongoing Implementation </v>
      </c>
      <c r="G25" s="331">
        <f>C36</f>
        <v>5</v>
      </c>
      <c r="H25" s="333">
        <f>B36</f>
        <v>0</v>
      </c>
      <c r="J25" s="338"/>
    </row>
    <row r="26" spans="1:10">
      <c r="A26" s="310" t="s">
        <v>750</v>
      </c>
      <c r="B26" s="335">
        <f>Milestone_Results_Summary!C26</f>
        <v>0</v>
      </c>
      <c r="C26" s="331">
        <f>Milestone_Results_Summary!D26</f>
        <v>5</v>
      </c>
      <c r="D26" s="332">
        <f t="shared" si="0"/>
        <v>0</v>
      </c>
      <c r="F26" s="310" t="s">
        <v>777</v>
      </c>
      <c r="H26" s="333">
        <f>G25-H25</f>
        <v>5</v>
      </c>
      <c r="I26" s="337"/>
      <c r="J26" s="338"/>
    </row>
    <row r="27" spans="1:10">
      <c r="A27" s="310" t="s">
        <v>752</v>
      </c>
      <c r="B27" s="335">
        <f>Milestone_Results_Summary!C27</f>
        <v>0</v>
      </c>
      <c r="C27" s="331">
        <f>Milestone_Results_Summary!D27</f>
        <v>4</v>
      </c>
      <c r="D27" s="332">
        <f t="shared" si="0"/>
        <v>0</v>
      </c>
      <c r="F27" s="310" t="s">
        <v>838</v>
      </c>
      <c r="G27" s="333">
        <f>SUM(H25+H23+H21+H19+H17+H15)</f>
        <v>0</v>
      </c>
      <c r="H27" s="333">
        <f>G27</f>
        <v>0</v>
      </c>
      <c r="I27" s="337"/>
      <c r="J27" s="338"/>
    </row>
    <row r="28" spans="1:10">
      <c r="A28" s="310" t="s">
        <v>753</v>
      </c>
      <c r="B28" s="335">
        <f>Milestone_Results_Summary!C28</f>
        <v>0</v>
      </c>
      <c r="C28" s="331">
        <f>Milestone_Results_Summary!D28</f>
        <v>4</v>
      </c>
      <c r="D28" s="332">
        <f t="shared" si="0"/>
        <v>0</v>
      </c>
      <c r="F28" s="310" t="s">
        <v>837</v>
      </c>
      <c r="G28" s="331">
        <v>100</v>
      </c>
      <c r="H28" s="333">
        <f>G28-G27</f>
        <v>100</v>
      </c>
      <c r="I28" s="337"/>
      <c r="J28" s="338"/>
    </row>
    <row r="29" spans="1:10">
      <c r="A29" s="310" t="s">
        <v>751</v>
      </c>
      <c r="B29" s="335">
        <f>Milestone_Results_Summary!C29</f>
        <v>0</v>
      </c>
      <c r="C29" s="331">
        <f>Milestone_Results_Summary!D29</f>
        <v>2</v>
      </c>
      <c r="D29" s="332">
        <f t="shared" si="0"/>
        <v>0</v>
      </c>
      <c r="I29" s="337"/>
      <c r="J29" s="338"/>
    </row>
    <row r="30" spans="1:10">
      <c r="B30" s="335">
        <f>Milestone_Results_Summary!C30</f>
        <v>0</v>
      </c>
      <c r="C30" s="331">
        <f>Milestone_Results_Summary!D30</f>
        <v>15</v>
      </c>
      <c r="I30" s="337"/>
      <c r="J30" s="338"/>
    </row>
    <row r="31" spans="1:10">
      <c r="A31" s="330" t="str">
        <f>Milestone_Results_Summary!A31</f>
        <v xml:space="preserve">Milestone 6: Ongoing Implementation </v>
      </c>
      <c r="B31" s="335" t="str">
        <f>Milestone_Results_Summary!C31</f>
        <v xml:space="preserve">Weighted_Score </v>
      </c>
      <c r="C31" s="331" t="str">
        <f>Milestone_Results_Summary!D31</f>
        <v>Milestone_Total</v>
      </c>
      <c r="D31" s="331" t="s">
        <v>732</v>
      </c>
    </row>
    <row r="32" spans="1:10">
      <c r="A32" s="310" t="s">
        <v>754</v>
      </c>
      <c r="B32" s="335">
        <f>Milestone_Results_Summary!C32</f>
        <v>0</v>
      </c>
      <c r="C32" s="331">
        <f>Milestone_Results_Summary!D32</f>
        <v>2</v>
      </c>
      <c r="D32" s="332">
        <f t="shared" si="0"/>
        <v>0</v>
      </c>
    </row>
    <row r="33" spans="1:4">
      <c r="A33" s="310" t="s">
        <v>755</v>
      </c>
      <c r="B33" s="335">
        <f>Milestone_Results_Summary!C33</f>
        <v>0</v>
      </c>
      <c r="C33" s="331">
        <f>Milestone_Results_Summary!D33</f>
        <v>1</v>
      </c>
      <c r="D33" s="332">
        <f t="shared" si="0"/>
        <v>0</v>
      </c>
    </row>
    <row r="34" spans="1:4">
      <c r="A34" s="310" t="s">
        <v>756</v>
      </c>
      <c r="B34" s="335">
        <f>Milestone_Results_Summary!C34</f>
        <v>0</v>
      </c>
      <c r="C34" s="331">
        <f>Milestone_Results_Summary!D34</f>
        <v>1</v>
      </c>
      <c r="D34" s="332">
        <f t="shared" si="0"/>
        <v>0</v>
      </c>
    </row>
    <row r="35" spans="1:4">
      <c r="A35" s="310" t="s">
        <v>757</v>
      </c>
      <c r="B35" s="335">
        <f>Milestone_Results_Summary!C35</f>
        <v>0</v>
      </c>
      <c r="C35" s="331">
        <f>Milestone_Results_Summary!D35</f>
        <v>1</v>
      </c>
      <c r="D35" s="332">
        <f t="shared" si="0"/>
        <v>0</v>
      </c>
    </row>
    <row r="36" spans="1:4">
      <c r="B36" s="335">
        <f>Milestone_Results_Summary!C36</f>
        <v>0</v>
      </c>
      <c r="C36" s="331">
        <f>Milestone_Results_Summary!D36</f>
        <v>5</v>
      </c>
    </row>
  </sheetData>
  <phoneticPr fontId="6"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C915-279C-4625-BF46-2EA3B8E4808D}">
  <sheetPr codeName="Sheet9"/>
  <dimension ref="B2:AX40"/>
  <sheetViews>
    <sheetView topLeftCell="A16" workbookViewId="0">
      <selection activeCell="G37" sqref="G37"/>
    </sheetView>
  </sheetViews>
  <sheetFormatPr baseColWidth="10" defaultColWidth="8.6640625" defaultRowHeight="16"/>
  <cols>
    <col min="1" max="1" width="6.33203125" style="18" bestFit="1" customWidth="1"/>
    <col min="2" max="2" width="53.1640625" style="18" customWidth="1"/>
    <col min="3" max="3" width="22.5" style="18" bestFit="1" customWidth="1"/>
    <col min="4" max="4" width="20.5" style="18" bestFit="1" customWidth="1"/>
    <col min="5" max="5" width="19.83203125" style="18" bestFit="1" customWidth="1"/>
    <col min="6" max="6" width="12.83203125" style="18" bestFit="1" customWidth="1"/>
    <col min="7" max="7" width="53.1640625" style="18" customWidth="1"/>
    <col min="8" max="43" width="12.83203125" style="18" bestFit="1" customWidth="1"/>
    <col min="44" max="44" width="8" style="18" bestFit="1" customWidth="1"/>
    <col min="45" max="45" width="8" style="18" customWidth="1"/>
    <col min="46" max="46" width="8" style="18" bestFit="1" customWidth="1"/>
    <col min="47" max="49" width="6.33203125" style="18" bestFit="1" customWidth="1"/>
    <col min="50" max="16384" width="8.6640625" style="18"/>
  </cols>
  <sheetData>
    <row r="2" spans="2:46">
      <c r="B2" s="418" t="str">
        <f>"Project Phasing timeline for " &amp; B3 &amp; "% reduction of emission from baseline"</f>
        <v>Project Phasing timeline for 0% reduction of emission from baseline</v>
      </c>
      <c r="C2" s="418" t="str">
        <f>Milestone_1!O102</f>
        <v>Total Reduction (%)</v>
      </c>
      <c r="D2" s="418" t="str">
        <f>Milestone_1!P102</f>
        <v>Starting year (yyyy)</v>
      </c>
      <c r="E2" s="418" t="str">
        <f>Milestone_1!R102</f>
        <v>Target Year (yyyy)</v>
      </c>
    </row>
    <row r="3" spans="2:46">
      <c r="B3" s="418">
        <f>C3*100</f>
        <v>0</v>
      </c>
      <c r="C3" s="433">
        <f>Milestone_1!O103</f>
        <v>0</v>
      </c>
      <c r="D3" s="418">
        <f>Milestone_1!P103</f>
        <v>0</v>
      </c>
      <c r="E3" s="418">
        <f>Milestone_1!R103</f>
        <v>0</v>
      </c>
    </row>
    <row r="4" spans="2:46">
      <c r="G4" s="418" t="str">
        <f>B5</f>
        <v>Technology</v>
      </c>
      <c r="H4" s="419">
        <v>2012</v>
      </c>
      <c r="I4" s="419">
        <v>2013</v>
      </c>
      <c r="J4" s="419">
        <v>2014</v>
      </c>
      <c r="K4" s="419">
        <v>2015</v>
      </c>
      <c r="L4" s="419">
        <v>2016</v>
      </c>
      <c r="M4" s="419">
        <v>2017</v>
      </c>
      <c r="N4" s="419">
        <v>2018</v>
      </c>
      <c r="O4" s="419">
        <v>2019</v>
      </c>
      <c r="P4" s="419">
        <v>2020</v>
      </c>
      <c r="Q4" s="419">
        <v>2021</v>
      </c>
      <c r="R4" s="419">
        <v>2022</v>
      </c>
      <c r="S4" s="419">
        <v>2023</v>
      </c>
      <c r="T4" s="419">
        <v>2024</v>
      </c>
      <c r="U4" s="419">
        <v>2025</v>
      </c>
      <c r="V4" s="419">
        <v>2026</v>
      </c>
      <c r="W4" s="419">
        <v>2027</v>
      </c>
      <c r="X4" s="419">
        <v>2028</v>
      </c>
      <c r="Y4" s="419">
        <v>2029</v>
      </c>
      <c r="Z4" s="419">
        <v>2030</v>
      </c>
      <c r="AA4" s="419">
        <v>2031</v>
      </c>
      <c r="AB4" s="419">
        <v>2032</v>
      </c>
      <c r="AC4" s="419">
        <v>2033</v>
      </c>
      <c r="AD4" s="419">
        <v>2034</v>
      </c>
      <c r="AE4" s="419">
        <v>2035</v>
      </c>
      <c r="AF4" s="419">
        <v>2036</v>
      </c>
      <c r="AG4" s="419">
        <v>2037</v>
      </c>
      <c r="AH4" s="419">
        <v>2038</v>
      </c>
      <c r="AI4" s="419">
        <v>2039</v>
      </c>
      <c r="AJ4" s="419">
        <v>2040</v>
      </c>
      <c r="AK4" s="419">
        <v>2041</v>
      </c>
      <c r="AL4" s="419">
        <v>2042</v>
      </c>
      <c r="AM4" s="419">
        <v>2043</v>
      </c>
      <c r="AN4" s="419">
        <v>2044</v>
      </c>
      <c r="AO4" s="419">
        <v>2045</v>
      </c>
      <c r="AP4" s="419">
        <v>2046</v>
      </c>
      <c r="AQ4" s="419">
        <v>2047</v>
      </c>
      <c r="AR4" s="419">
        <v>2048</v>
      </c>
      <c r="AS4" s="419">
        <v>2049</v>
      </c>
      <c r="AT4" s="419">
        <v>2050</v>
      </c>
    </row>
    <row r="5" spans="2:46">
      <c r="B5" s="354" t="s">
        <v>318</v>
      </c>
      <c r="C5" s="355" t="str">
        <f>Milestone_5!P12</f>
        <v>% GHG Reduction</v>
      </c>
      <c r="D5" s="355" t="str">
        <f>Milestone_5!Q12</f>
        <v>Start Year</v>
      </c>
      <c r="E5" s="277" t="str">
        <f>Milestone_5!R12</f>
        <v>End Year</v>
      </c>
      <c r="G5" s="418" t="s">
        <v>836</v>
      </c>
      <c r="H5" s="420">
        <f t="shared" ref="H5:AT5" si="0">1-H15</f>
        <v>1</v>
      </c>
      <c r="I5" s="420">
        <f t="shared" si="0"/>
        <v>1</v>
      </c>
      <c r="J5" s="418">
        <f t="shared" si="0"/>
        <v>1</v>
      </c>
      <c r="K5" s="418">
        <f t="shared" si="0"/>
        <v>1</v>
      </c>
      <c r="L5" s="418">
        <f t="shared" si="0"/>
        <v>1</v>
      </c>
      <c r="M5" s="418">
        <f t="shared" si="0"/>
        <v>1</v>
      </c>
      <c r="N5" s="418">
        <f t="shared" si="0"/>
        <v>1</v>
      </c>
      <c r="O5" s="418">
        <f t="shared" si="0"/>
        <v>1</v>
      </c>
      <c r="P5" s="418">
        <f t="shared" si="0"/>
        <v>1</v>
      </c>
      <c r="Q5" s="418">
        <f t="shared" si="0"/>
        <v>1</v>
      </c>
      <c r="R5" s="418">
        <f t="shared" si="0"/>
        <v>1</v>
      </c>
      <c r="S5" s="418">
        <f t="shared" si="0"/>
        <v>1</v>
      </c>
      <c r="T5" s="418">
        <f t="shared" si="0"/>
        <v>1</v>
      </c>
      <c r="U5" s="418">
        <f t="shared" si="0"/>
        <v>1</v>
      </c>
      <c r="V5" s="418">
        <f t="shared" si="0"/>
        <v>1</v>
      </c>
      <c r="W5" s="418">
        <f t="shared" si="0"/>
        <v>1</v>
      </c>
      <c r="X5" s="418">
        <f t="shared" si="0"/>
        <v>1</v>
      </c>
      <c r="Y5" s="418">
        <f t="shared" si="0"/>
        <v>1</v>
      </c>
      <c r="Z5" s="418">
        <f t="shared" si="0"/>
        <v>1</v>
      </c>
      <c r="AA5" s="418">
        <f t="shared" si="0"/>
        <v>1</v>
      </c>
      <c r="AB5" s="418">
        <f t="shared" si="0"/>
        <v>1</v>
      </c>
      <c r="AC5" s="418">
        <f t="shared" si="0"/>
        <v>1</v>
      </c>
      <c r="AD5" s="418">
        <f t="shared" si="0"/>
        <v>1</v>
      </c>
      <c r="AE5" s="418">
        <f t="shared" si="0"/>
        <v>1</v>
      </c>
      <c r="AF5" s="418">
        <f t="shared" si="0"/>
        <v>1</v>
      </c>
      <c r="AG5" s="418">
        <f t="shared" si="0"/>
        <v>1</v>
      </c>
      <c r="AH5" s="418">
        <f t="shared" si="0"/>
        <v>1</v>
      </c>
      <c r="AI5" s="418">
        <f t="shared" si="0"/>
        <v>1</v>
      </c>
      <c r="AJ5" s="418">
        <f t="shared" si="0"/>
        <v>1</v>
      </c>
      <c r="AK5" s="418">
        <f t="shared" si="0"/>
        <v>1</v>
      </c>
      <c r="AL5" s="418">
        <f t="shared" si="0"/>
        <v>1</v>
      </c>
      <c r="AM5" s="418">
        <f t="shared" si="0"/>
        <v>1</v>
      </c>
      <c r="AN5" s="418">
        <f t="shared" si="0"/>
        <v>1</v>
      </c>
      <c r="AO5" s="418">
        <f t="shared" si="0"/>
        <v>1</v>
      </c>
      <c r="AP5" s="418">
        <f t="shared" si="0"/>
        <v>1</v>
      </c>
      <c r="AQ5" s="418">
        <f t="shared" si="0"/>
        <v>1</v>
      </c>
      <c r="AR5" s="418">
        <f t="shared" si="0"/>
        <v>1</v>
      </c>
      <c r="AS5" s="418">
        <f t="shared" si="0"/>
        <v>1</v>
      </c>
      <c r="AT5" s="420">
        <f t="shared" si="0"/>
        <v>1</v>
      </c>
    </row>
    <row r="6" spans="2:46">
      <c r="B6" s="353" t="str">
        <f>Milestone_5!O13</f>
        <v>Energy efficiency</v>
      </c>
      <c r="C6" s="357">
        <f>Milestone_5!P13</f>
        <v>0</v>
      </c>
      <c r="D6" s="18" t="str">
        <f>IF(ISNUMBER(Milestone_5!Q13),Milestone_5!Q13," ")</f>
        <v xml:space="preserve"> </v>
      </c>
      <c r="E6" s="358" t="str">
        <f>IF(ISNUMBER(Milestone_5!R13),Milestone_5!R13," ")</f>
        <v xml:space="preserve"> </v>
      </c>
      <c r="G6" s="418" t="str">
        <f t="shared" ref="G6:G12" si="1">B6</f>
        <v>Energy efficiency</v>
      </c>
      <c r="H6" s="421">
        <f>IF(AND(H$4&gt;=$D6,H$4&lt;=$E6), $C6/($E6-$D6+1), 0)</f>
        <v>0</v>
      </c>
      <c r="I6" s="490">
        <f>H6 + IF(AND(I$4&gt;=$D6,I$4&lt;=$E6), $C6/($E6-$D6+1), 0)</f>
        <v>0</v>
      </c>
      <c r="J6" s="490">
        <f t="shared" ref="J6:AT6" si="2">I6 + IF(AND(J$4&gt;=$D6,J$4&lt;=$E6), $C6/($E6-$D6+1), 0)</f>
        <v>0</v>
      </c>
      <c r="K6" s="490">
        <f t="shared" si="2"/>
        <v>0</v>
      </c>
      <c r="L6" s="490">
        <f t="shared" si="2"/>
        <v>0</v>
      </c>
      <c r="M6" s="490">
        <f t="shared" si="2"/>
        <v>0</v>
      </c>
      <c r="N6" s="490">
        <f t="shared" si="2"/>
        <v>0</v>
      </c>
      <c r="O6" s="490">
        <f t="shared" si="2"/>
        <v>0</v>
      </c>
      <c r="P6" s="490">
        <f t="shared" si="2"/>
        <v>0</v>
      </c>
      <c r="Q6" s="490">
        <f t="shared" si="2"/>
        <v>0</v>
      </c>
      <c r="R6" s="490">
        <f t="shared" si="2"/>
        <v>0</v>
      </c>
      <c r="S6" s="490">
        <f t="shared" si="2"/>
        <v>0</v>
      </c>
      <c r="T6" s="490">
        <f t="shared" si="2"/>
        <v>0</v>
      </c>
      <c r="U6" s="490">
        <f t="shared" si="2"/>
        <v>0</v>
      </c>
      <c r="V6" s="490">
        <f t="shared" si="2"/>
        <v>0</v>
      </c>
      <c r="W6" s="490">
        <f t="shared" si="2"/>
        <v>0</v>
      </c>
      <c r="X6" s="490">
        <f t="shared" si="2"/>
        <v>0</v>
      </c>
      <c r="Y6" s="490">
        <f t="shared" si="2"/>
        <v>0</v>
      </c>
      <c r="Z6" s="490">
        <f t="shared" si="2"/>
        <v>0</v>
      </c>
      <c r="AA6" s="490">
        <f t="shared" si="2"/>
        <v>0</v>
      </c>
      <c r="AB6" s="490">
        <f t="shared" si="2"/>
        <v>0</v>
      </c>
      <c r="AC6" s="490">
        <f t="shared" si="2"/>
        <v>0</v>
      </c>
      <c r="AD6" s="490">
        <f t="shared" si="2"/>
        <v>0</v>
      </c>
      <c r="AE6" s="490">
        <f t="shared" si="2"/>
        <v>0</v>
      </c>
      <c r="AF6" s="490">
        <f t="shared" si="2"/>
        <v>0</v>
      </c>
      <c r="AG6" s="490">
        <f t="shared" si="2"/>
        <v>0</v>
      </c>
      <c r="AH6" s="490">
        <f t="shared" si="2"/>
        <v>0</v>
      </c>
      <c r="AI6" s="490">
        <f t="shared" si="2"/>
        <v>0</v>
      </c>
      <c r="AJ6" s="490">
        <f t="shared" si="2"/>
        <v>0</v>
      </c>
      <c r="AK6" s="490">
        <f t="shared" si="2"/>
        <v>0</v>
      </c>
      <c r="AL6" s="490">
        <f t="shared" si="2"/>
        <v>0</v>
      </c>
      <c r="AM6" s="490">
        <f t="shared" si="2"/>
        <v>0</v>
      </c>
      <c r="AN6" s="490">
        <f t="shared" si="2"/>
        <v>0</v>
      </c>
      <c r="AO6" s="490">
        <f t="shared" si="2"/>
        <v>0</v>
      </c>
      <c r="AP6" s="490">
        <f t="shared" si="2"/>
        <v>0</v>
      </c>
      <c r="AQ6" s="490">
        <f t="shared" si="2"/>
        <v>0</v>
      </c>
      <c r="AR6" s="490">
        <f t="shared" si="2"/>
        <v>0</v>
      </c>
      <c r="AS6" s="490">
        <f t="shared" si="2"/>
        <v>0</v>
      </c>
      <c r="AT6" s="490">
        <f t="shared" si="2"/>
        <v>0</v>
      </c>
    </row>
    <row r="7" spans="2:46">
      <c r="B7" s="353" t="str">
        <f>Milestone_5!O14</f>
        <v>Electrification technology</v>
      </c>
      <c r="C7" s="357">
        <f>Milestone_5!P14</f>
        <v>0</v>
      </c>
      <c r="D7" s="18" t="str">
        <f>IF(ISNUMBER(Milestone_5!Q14),Milestone_5!Q14," ")</f>
        <v xml:space="preserve"> </v>
      </c>
      <c r="E7" s="358" t="str">
        <f>IF(ISNUMBER(Milestone_5!R14),Milestone_5!R14," ")</f>
        <v xml:space="preserve"> </v>
      </c>
      <c r="G7" s="418" t="str">
        <f t="shared" si="1"/>
        <v>Electrification technology</v>
      </c>
      <c r="H7" s="421">
        <f t="shared" ref="H7:H13" si="3">IF(AND(H$4&gt;=$D7,H$4&lt;=$E7), $C7/($E7-$D7+1), 0)</f>
        <v>0</v>
      </c>
      <c r="I7" s="490">
        <f t="shared" ref="I7:AT7" si="4">H7 + IF(AND(I$4&gt;=$D7,I$4&lt;=$E7), $C7/($E7-$D7+1), 0)</f>
        <v>0</v>
      </c>
      <c r="J7" s="490">
        <f t="shared" si="4"/>
        <v>0</v>
      </c>
      <c r="K7" s="490">
        <f t="shared" si="4"/>
        <v>0</v>
      </c>
      <c r="L7" s="490">
        <f t="shared" si="4"/>
        <v>0</v>
      </c>
      <c r="M7" s="490">
        <f t="shared" si="4"/>
        <v>0</v>
      </c>
      <c r="N7" s="490">
        <f t="shared" si="4"/>
        <v>0</v>
      </c>
      <c r="O7" s="490">
        <f t="shared" si="4"/>
        <v>0</v>
      </c>
      <c r="P7" s="490">
        <f t="shared" si="4"/>
        <v>0</v>
      </c>
      <c r="Q7" s="490">
        <f t="shared" si="4"/>
        <v>0</v>
      </c>
      <c r="R7" s="490">
        <f t="shared" si="4"/>
        <v>0</v>
      </c>
      <c r="S7" s="490">
        <f t="shared" si="4"/>
        <v>0</v>
      </c>
      <c r="T7" s="490">
        <f t="shared" si="4"/>
        <v>0</v>
      </c>
      <c r="U7" s="490">
        <f t="shared" si="4"/>
        <v>0</v>
      </c>
      <c r="V7" s="490">
        <f t="shared" si="4"/>
        <v>0</v>
      </c>
      <c r="W7" s="490">
        <f t="shared" si="4"/>
        <v>0</v>
      </c>
      <c r="X7" s="490">
        <f t="shared" si="4"/>
        <v>0</v>
      </c>
      <c r="Y7" s="490">
        <f t="shared" si="4"/>
        <v>0</v>
      </c>
      <c r="Z7" s="490">
        <f t="shared" si="4"/>
        <v>0</v>
      </c>
      <c r="AA7" s="490">
        <f t="shared" si="4"/>
        <v>0</v>
      </c>
      <c r="AB7" s="490">
        <f t="shared" si="4"/>
        <v>0</v>
      </c>
      <c r="AC7" s="490">
        <f t="shared" si="4"/>
        <v>0</v>
      </c>
      <c r="AD7" s="490">
        <f t="shared" si="4"/>
        <v>0</v>
      </c>
      <c r="AE7" s="490">
        <f t="shared" si="4"/>
        <v>0</v>
      </c>
      <c r="AF7" s="490">
        <f t="shared" si="4"/>
        <v>0</v>
      </c>
      <c r="AG7" s="490">
        <f t="shared" si="4"/>
        <v>0</v>
      </c>
      <c r="AH7" s="490">
        <f t="shared" si="4"/>
        <v>0</v>
      </c>
      <c r="AI7" s="490">
        <f t="shared" si="4"/>
        <v>0</v>
      </c>
      <c r="AJ7" s="490">
        <f t="shared" si="4"/>
        <v>0</v>
      </c>
      <c r="AK7" s="490">
        <f t="shared" si="4"/>
        <v>0</v>
      </c>
      <c r="AL7" s="490">
        <f t="shared" si="4"/>
        <v>0</v>
      </c>
      <c r="AM7" s="490">
        <f t="shared" si="4"/>
        <v>0</v>
      </c>
      <c r="AN7" s="490">
        <f t="shared" si="4"/>
        <v>0</v>
      </c>
      <c r="AO7" s="490">
        <f t="shared" si="4"/>
        <v>0</v>
      </c>
      <c r="AP7" s="490">
        <f t="shared" si="4"/>
        <v>0</v>
      </c>
      <c r="AQ7" s="490">
        <f t="shared" si="4"/>
        <v>0</v>
      </c>
      <c r="AR7" s="490">
        <f t="shared" si="4"/>
        <v>0</v>
      </c>
      <c r="AS7" s="490">
        <f t="shared" si="4"/>
        <v>0</v>
      </c>
      <c r="AT7" s="490">
        <f t="shared" si="4"/>
        <v>0</v>
      </c>
    </row>
    <row r="8" spans="2:46">
      <c r="B8" s="353" t="str">
        <f>Milestone_5!O15</f>
        <v>On-site Renewable energy production</v>
      </c>
      <c r="C8" s="357">
        <f>Milestone_5!P15</f>
        <v>0</v>
      </c>
      <c r="D8" s="18" t="str">
        <f>IF(ISNUMBER(Milestone_5!Q15),Milestone_5!Q15," ")</f>
        <v xml:space="preserve"> </v>
      </c>
      <c r="E8" s="358" t="str">
        <f>IF(ISNUMBER(Milestone_5!R15),Milestone_5!R15," ")</f>
        <v xml:space="preserve"> </v>
      </c>
      <c r="G8" s="418" t="str">
        <f t="shared" si="1"/>
        <v>On-site Renewable energy production</v>
      </c>
      <c r="H8" s="421">
        <f>IF(AND(H$4&gt;=$D8,H$4&lt;=$E8), $C8/($E8-$D8+1), 0)</f>
        <v>0</v>
      </c>
      <c r="I8" s="490">
        <f t="shared" ref="I8:AT8" si="5">H8 + IF(AND(I$4&gt;=$D8,I$4&lt;=$E8), $C8/($E8-$D8+1), 0)</f>
        <v>0</v>
      </c>
      <c r="J8" s="490">
        <f t="shared" si="5"/>
        <v>0</v>
      </c>
      <c r="K8" s="490">
        <f t="shared" si="5"/>
        <v>0</v>
      </c>
      <c r="L8" s="490">
        <f t="shared" si="5"/>
        <v>0</v>
      </c>
      <c r="M8" s="490">
        <f t="shared" si="5"/>
        <v>0</v>
      </c>
      <c r="N8" s="490">
        <f t="shared" si="5"/>
        <v>0</v>
      </c>
      <c r="O8" s="490">
        <f t="shared" si="5"/>
        <v>0</v>
      </c>
      <c r="P8" s="490">
        <f t="shared" si="5"/>
        <v>0</v>
      </c>
      <c r="Q8" s="490">
        <f t="shared" si="5"/>
        <v>0</v>
      </c>
      <c r="R8" s="490">
        <f t="shared" si="5"/>
        <v>0</v>
      </c>
      <c r="S8" s="490">
        <f t="shared" si="5"/>
        <v>0</v>
      </c>
      <c r="T8" s="490">
        <f t="shared" si="5"/>
        <v>0</v>
      </c>
      <c r="U8" s="490">
        <f t="shared" si="5"/>
        <v>0</v>
      </c>
      <c r="V8" s="490">
        <f t="shared" si="5"/>
        <v>0</v>
      </c>
      <c r="W8" s="490">
        <f t="shared" si="5"/>
        <v>0</v>
      </c>
      <c r="X8" s="490">
        <f t="shared" si="5"/>
        <v>0</v>
      </c>
      <c r="Y8" s="490">
        <f t="shared" si="5"/>
        <v>0</v>
      </c>
      <c r="Z8" s="490">
        <f t="shared" si="5"/>
        <v>0</v>
      </c>
      <c r="AA8" s="490">
        <f t="shared" si="5"/>
        <v>0</v>
      </c>
      <c r="AB8" s="490">
        <f t="shared" si="5"/>
        <v>0</v>
      </c>
      <c r="AC8" s="490">
        <f t="shared" si="5"/>
        <v>0</v>
      </c>
      <c r="AD8" s="490">
        <f t="shared" si="5"/>
        <v>0</v>
      </c>
      <c r="AE8" s="490">
        <f t="shared" si="5"/>
        <v>0</v>
      </c>
      <c r="AF8" s="490">
        <f t="shared" si="5"/>
        <v>0</v>
      </c>
      <c r="AG8" s="490">
        <f t="shared" si="5"/>
        <v>0</v>
      </c>
      <c r="AH8" s="490">
        <f t="shared" si="5"/>
        <v>0</v>
      </c>
      <c r="AI8" s="490">
        <f t="shared" si="5"/>
        <v>0</v>
      </c>
      <c r="AJ8" s="490">
        <f t="shared" si="5"/>
        <v>0</v>
      </c>
      <c r="AK8" s="490">
        <f t="shared" si="5"/>
        <v>0</v>
      </c>
      <c r="AL8" s="490">
        <f t="shared" si="5"/>
        <v>0</v>
      </c>
      <c r="AM8" s="490">
        <f t="shared" si="5"/>
        <v>0</v>
      </c>
      <c r="AN8" s="490">
        <f t="shared" si="5"/>
        <v>0</v>
      </c>
      <c r="AO8" s="490">
        <f t="shared" si="5"/>
        <v>0</v>
      </c>
      <c r="AP8" s="490">
        <f t="shared" si="5"/>
        <v>0</v>
      </c>
      <c r="AQ8" s="490">
        <f t="shared" si="5"/>
        <v>0</v>
      </c>
      <c r="AR8" s="490">
        <f t="shared" si="5"/>
        <v>0</v>
      </c>
      <c r="AS8" s="490">
        <f t="shared" si="5"/>
        <v>0</v>
      </c>
      <c r="AT8" s="490">
        <f t="shared" si="5"/>
        <v>0</v>
      </c>
    </row>
    <row r="9" spans="2:46">
      <c r="B9" s="353" t="str">
        <f>Milestone_5!O16</f>
        <v>Renewable energy procurement</v>
      </c>
      <c r="C9" s="357">
        <f>Milestone_5!P16</f>
        <v>0</v>
      </c>
      <c r="D9" s="18" t="str">
        <f>IF(ISNUMBER(Milestone_5!Q16),Milestone_5!Q16," ")</f>
        <v xml:space="preserve"> </v>
      </c>
      <c r="E9" s="358" t="str">
        <f>IF(ISNUMBER(Milestone_5!R16),Milestone_5!R16," ")</f>
        <v xml:space="preserve"> </v>
      </c>
      <c r="G9" s="418" t="str">
        <f t="shared" si="1"/>
        <v>Renewable energy procurement</v>
      </c>
      <c r="H9" s="421">
        <f>IF(H$4=$D9,$C9,0)</f>
        <v>0</v>
      </c>
      <c r="I9" s="490">
        <f>IF($D9=I$4,$C9,0)+H9</f>
        <v>0</v>
      </c>
      <c r="J9" s="490">
        <f t="shared" ref="J9:AT9" si="6">IF($D9=J$4,$C9,0)+I9</f>
        <v>0</v>
      </c>
      <c r="K9" s="490">
        <f t="shared" si="6"/>
        <v>0</v>
      </c>
      <c r="L9" s="490">
        <f t="shared" si="6"/>
        <v>0</v>
      </c>
      <c r="M9" s="490">
        <f t="shared" si="6"/>
        <v>0</v>
      </c>
      <c r="N9" s="490">
        <f t="shared" si="6"/>
        <v>0</v>
      </c>
      <c r="O9" s="490">
        <f t="shared" si="6"/>
        <v>0</v>
      </c>
      <c r="P9" s="490">
        <f t="shared" si="6"/>
        <v>0</v>
      </c>
      <c r="Q9" s="490">
        <f t="shared" si="6"/>
        <v>0</v>
      </c>
      <c r="R9" s="490">
        <f t="shared" si="6"/>
        <v>0</v>
      </c>
      <c r="S9" s="490">
        <f t="shared" si="6"/>
        <v>0</v>
      </c>
      <c r="T9" s="490">
        <f t="shared" si="6"/>
        <v>0</v>
      </c>
      <c r="U9" s="490">
        <f t="shared" si="6"/>
        <v>0</v>
      </c>
      <c r="V9" s="490">
        <f t="shared" si="6"/>
        <v>0</v>
      </c>
      <c r="W9" s="490">
        <f t="shared" si="6"/>
        <v>0</v>
      </c>
      <c r="X9" s="490">
        <f t="shared" si="6"/>
        <v>0</v>
      </c>
      <c r="Y9" s="490">
        <f t="shared" si="6"/>
        <v>0</v>
      </c>
      <c r="Z9" s="490">
        <f t="shared" si="6"/>
        <v>0</v>
      </c>
      <c r="AA9" s="490">
        <f t="shared" si="6"/>
        <v>0</v>
      </c>
      <c r="AB9" s="490">
        <f t="shared" si="6"/>
        <v>0</v>
      </c>
      <c r="AC9" s="490">
        <f t="shared" si="6"/>
        <v>0</v>
      </c>
      <c r="AD9" s="490">
        <f t="shared" si="6"/>
        <v>0</v>
      </c>
      <c r="AE9" s="490">
        <f t="shared" si="6"/>
        <v>0</v>
      </c>
      <c r="AF9" s="490">
        <f t="shared" si="6"/>
        <v>0</v>
      </c>
      <c r="AG9" s="490">
        <f t="shared" si="6"/>
        <v>0</v>
      </c>
      <c r="AH9" s="490">
        <f t="shared" si="6"/>
        <v>0</v>
      </c>
      <c r="AI9" s="490">
        <f t="shared" si="6"/>
        <v>0</v>
      </c>
      <c r="AJ9" s="490">
        <f t="shared" si="6"/>
        <v>0</v>
      </c>
      <c r="AK9" s="490">
        <f t="shared" si="6"/>
        <v>0</v>
      </c>
      <c r="AL9" s="490">
        <f t="shared" si="6"/>
        <v>0</v>
      </c>
      <c r="AM9" s="490">
        <f t="shared" si="6"/>
        <v>0</v>
      </c>
      <c r="AN9" s="490">
        <f t="shared" si="6"/>
        <v>0</v>
      </c>
      <c r="AO9" s="490">
        <f t="shared" si="6"/>
        <v>0</v>
      </c>
      <c r="AP9" s="490">
        <f t="shared" si="6"/>
        <v>0</v>
      </c>
      <c r="AQ9" s="490">
        <f t="shared" si="6"/>
        <v>0</v>
      </c>
      <c r="AR9" s="490">
        <f t="shared" si="6"/>
        <v>0</v>
      </c>
      <c r="AS9" s="490">
        <f t="shared" si="6"/>
        <v>0</v>
      </c>
      <c r="AT9" s="490">
        <f t="shared" si="6"/>
        <v>0</v>
      </c>
    </row>
    <row r="10" spans="2:46">
      <c r="B10" s="353" t="str">
        <f>Milestone_5!O17</f>
        <v>Low carbon fuels (e.g. biofuels and H2)</v>
      </c>
      <c r="C10" s="357">
        <f>Milestone_5!P17</f>
        <v>0</v>
      </c>
      <c r="D10" s="18" t="str">
        <f>IF(ISNUMBER(Milestone_5!Q17),Milestone_5!Q17," ")</f>
        <v xml:space="preserve"> </v>
      </c>
      <c r="E10" s="358" t="str">
        <f>IF(ISNUMBER(Milestone_5!R17),Milestone_5!R17," ")</f>
        <v xml:space="preserve"> </v>
      </c>
      <c r="G10" s="418" t="str">
        <f t="shared" si="1"/>
        <v>Low carbon fuels (e.g. biofuels and H2)</v>
      </c>
      <c r="H10" s="421">
        <f t="shared" si="3"/>
        <v>0</v>
      </c>
      <c r="I10" s="490">
        <f t="shared" ref="I10:AT10" si="7">H10 + IF(AND(I$4&gt;=$D10,I$4&lt;=$E10), $C10/($E10-$D10+1), 0)</f>
        <v>0</v>
      </c>
      <c r="J10" s="490">
        <f t="shared" si="7"/>
        <v>0</v>
      </c>
      <c r="K10" s="490">
        <f t="shared" si="7"/>
        <v>0</v>
      </c>
      <c r="L10" s="490">
        <f t="shared" si="7"/>
        <v>0</v>
      </c>
      <c r="M10" s="490">
        <f t="shared" si="7"/>
        <v>0</v>
      </c>
      <c r="N10" s="490">
        <f t="shared" si="7"/>
        <v>0</v>
      </c>
      <c r="O10" s="490">
        <f t="shared" si="7"/>
        <v>0</v>
      </c>
      <c r="P10" s="490">
        <f t="shared" si="7"/>
        <v>0</v>
      </c>
      <c r="Q10" s="490">
        <f t="shared" si="7"/>
        <v>0</v>
      </c>
      <c r="R10" s="490">
        <f t="shared" si="7"/>
        <v>0</v>
      </c>
      <c r="S10" s="490">
        <f t="shared" si="7"/>
        <v>0</v>
      </c>
      <c r="T10" s="490">
        <f t="shared" si="7"/>
        <v>0</v>
      </c>
      <c r="U10" s="490">
        <f t="shared" si="7"/>
        <v>0</v>
      </c>
      <c r="V10" s="490">
        <f t="shared" si="7"/>
        <v>0</v>
      </c>
      <c r="W10" s="490">
        <f t="shared" si="7"/>
        <v>0</v>
      </c>
      <c r="X10" s="490">
        <f t="shared" si="7"/>
        <v>0</v>
      </c>
      <c r="Y10" s="490">
        <f t="shared" si="7"/>
        <v>0</v>
      </c>
      <c r="Z10" s="490">
        <f t="shared" si="7"/>
        <v>0</v>
      </c>
      <c r="AA10" s="490">
        <f t="shared" si="7"/>
        <v>0</v>
      </c>
      <c r="AB10" s="490">
        <f t="shared" si="7"/>
        <v>0</v>
      </c>
      <c r="AC10" s="490">
        <f t="shared" si="7"/>
        <v>0</v>
      </c>
      <c r="AD10" s="490">
        <f t="shared" si="7"/>
        <v>0</v>
      </c>
      <c r="AE10" s="490">
        <f t="shared" si="7"/>
        <v>0</v>
      </c>
      <c r="AF10" s="490">
        <f t="shared" si="7"/>
        <v>0</v>
      </c>
      <c r="AG10" s="490">
        <f t="shared" si="7"/>
        <v>0</v>
      </c>
      <c r="AH10" s="490">
        <f t="shared" si="7"/>
        <v>0</v>
      </c>
      <c r="AI10" s="490">
        <f t="shared" si="7"/>
        <v>0</v>
      </c>
      <c r="AJ10" s="490">
        <f t="shared" si="7"/>
        <v>0</v>
      </c>
      <c r="AK10" s="490">
        <f t="shared" si="7"/>
        <v>0</v>
      </c>
      <c r="AL10" s="490">
        <f t="shared" si="7"/>
        <v>0</v>
      </c>
      <c r="AM10" s="490">
        <f t="shared" si="7"/>
        <v>0</v>
      </c>
      <c r="AN10" s="490">
        <f t="shared" si="7"/>
        <v>0</v>
      </c>
      <c r="AO10" s="490">
        <f t="shared" si="7"/>
        <v>0</v>
      </c>
      <c r="AP10" s="490">
        <f t="shared" si="7"/>
        <v>0</v>
      </c>
      <c r="AQ10" s="490">
        <f t="shared" si="7"/>
        <v>0</v>
      </c>
      <c r="AR10" s="490">
        <f t="shared" si="7"/>
        <v>0</v>
      </c>
      <c r="AS10" s="490">
        <f t="shared" si="7"/>
        <v>0</v>
      </c>
      <c r="AT10" s="490">
        <f t="shared" si="7"/>
        <v>0</v>
      </c>
    </row>
    <row r="11" spans="2:46">
      <c r="B11" s="353" t="str">
        <f>Milestone_5!O18</f>
        <v>Fugitive, Mobile and process emission reduction</v>
      </c>
      <c r="C11" s="357">
        <f>Milestone_5!P18</f>
        <v>0</v>
      </c>
      <c r="D11" s="18" t="str">
        <f>IF(ISNUMBER(Milestone_5!Q18),Milestone_5!Q18," ")</f>
        <v xml:space="preserve"> </v>
      </c>
      <c r="E11" s="358" t="str">
        <f>IF(ISNUMBER(Milestone_5!R18),Milestone_5!R18," ")</f>
        <v xml:space="preserve"> </v>
      </c>
      <c r="G11" s="418" t="str">
        <f t="shared" si="1"/>
        <v>Fugitive, Mobile and process emission reduction</v>
      </c>
      <c r="H11" s="421">
        <f t="shared" si="3"/>
        <v>0</v>
      </c>
      <c r="I11" s="490">
        <f t="shared" ref="I11:AT11" si="8">H11 + IF(AND(I$4&gt;=$D11,I$4&lt;=$E11), $C11/($E11-$D11+1), 0)</f>
        <v>0</v>
      </c>
      <c r="J11" s="490">
        <f t="shared" si="8"/>
        <v>0</v>
      </c>
      <c r="K11" s="490">
        <f t="shared" si="8"/>
        <v>0</v>
      </c>
      <c r="L11" s="490">
        <f t="shared" si="8"/>
        <v>0</v>
      </c>
      <c r="M11" s="490">
        <f t="shared" si="8"/>
        <v>0</v>
      </c>
      <c r="N11" s="490">
        <f t="shared" si="8"/>
        <v>0</v>
      </c>
      <c r="O11" s="490">
        <f t="shared" si="8"/>
        <v>0</v>
      </c>
      <c r="P11" s="490">
        <f t="shared" si="8"/>
        <v>0</v>
      </c>
      <c r="Q11" s="490">
        <f t="shared" si="8"/>
        <v>0</v>
      </c>
      <c r="R11" s="490">
        <f t="shared" si="8"/>
        <v>0</v>
      </c>
      <c r="S11" s="490">
        <f t="shared" si="8"/>
        <v>0</v>
      </c>
      <c r="T11" s="490">
        <f t="shared" si="8"/>
        <v>0</v>
      </c>
      <c r="U11" s="490">
        <f t="shared" si="8"/>
        <v>0</v>
      </c>
      <c r="V11" s="490">
        <f t="shared" si="8"/>
        <v>0</v>
      </c>
      <c r="W11" s="490">
        <f t="shared" si="8"/>
        <v>0</v>
      </c>
      <c r="X11" s="490">
        <f t="shared" si="8"/>
        <v>0</v>
      </c>
      <c r="Y11" s="490">
        <f t="shared" si="8"/>
        <v>0</v>
      </c>
      <c r="Z11" s="490">
        <f t="shared" si="8"/>
        <v>0</v>
      </c>
      <c r="AA11" s="490">
        <f t="shared" si="8"/>
        <v>0</v>
      </c>
      <c r="AB11" s="490">
        <f t="shared" si="8"/>
        <v>0</v>
      </c>
      <c r="AC11" s="490">
        <f t="shared" si="8"/>
        <v>0</v>
      </c>
      <c r="AD11" s="490">
        <f t="shared" si="8"/>
        <v>0</v>
      </c>
      <c r="AE11" s="490">
        <f t="shared" si="8"/>
        <v>0</v>
      </c>
      <c r="AF11" s="490">
        <f t="shared" si="8"/>
        <v>0</v>
      </c>
      <c r="AG11" s="490">
        <f t="shared" si="8"/>
        <v>0</v>
      </c>
      <c r="AH11" s="490">
        <f t="shared" si="8"/>
        <v>0</v>
      </c>
      <c r="AI11" s="490">
        <f t="shared" si="8"/>
        <v>0</v>
      </c>
      <c r="AJ11" s="490">
        <f t="shared" si="8"/>
        <v>0</v>
      </c>
      <c r="AK11" s="490">
        <f t="shared" si="8"/>
        <v>0</v>
      </c>
      <c r="AL11" s="490">
        <f t="shared" si="8"/>
        <v>0</v>
      </c>
      <c r="AM11" s="490">
        <f t="shared" si="8"/>
        <v>0</v>
      </c>
      <c r="AN11" s="490">
        <f t="shared" si="8"/>
        <v>0</v>
      </c>
      <c r="AO11" s="490">
        <f t="shared" si="8"/>
        <v>0</v>
      </c>
      <c r="AP11" s="490">
        <f t="shared" si="8"/>
        <v>0</v>
      </c>
      <c r="AQ11" s="490">
        <f t="shared" si="8"/>
        <v>0</v>
      </c>
      <c r="AR11" s="490">
        <f t="shared" si="8"/>
        <v>0</v>
      </c>
      <c r="AS11" s="490">
        <f t="shared" si="8"/>
        <v>0</v>
      </c>
      <c r="AT11" s="490">
        <f t="shared" si="8"/>
        <v>0</v>
      </c>
    </row>
    <row r="12" spans="2:46">
      <c r="B12" s="353" t="str">
        <f>Milestone_5!O19</f>
        <v xml:space="preserve">Energy storage, grid resiliency and interactivity </v>
      </c>
      <c r="C12" s="357">
        <f>Milestone_5!P19</f>
        <v>0</v>
      </c>
      <c r="D12" s="18" t="str">
        <f>IF(ISNUMBER(Milestone_5!Q19),Milestone_5!Q19," ")</f>
        <v xml:space="preserve"> </v>
      </c>
      <c r="E12" s="358" t="str">
        <f>IF(ISNUMBER(Milestone_5!R19),Milestone_5!R19," ")</f>
        <v xml:space="preserve"> </v>
      </c>
      <c r="G12" s="418" t="str">
        <f t="shared" si="1"/>
        <v xml:space="preserve">Energy storage, grid resiliency and interactivity </v>
      </c>
      <c r="H12" s="421">
        <f t="shared" si="3"/>
        <v>0</v>
      </c>
      <c r="I12" s="490">
        <f t="shared" ref="I12:AT12" si="9">H12 + IF(AND(I$4&gt;=$D12,I$4&lt;=$E12), $C12/($E12-$D12+1), 0)</f>
        <v>0</v>
      </c>
      <c r="J12" s="490">
        <f t="shared" si="9"/>
        <v>0</v>
      </c>
      <c r="K12" s="490">
        <f t="shared" si="9"/>
        <v>0</v>
      </c>
      <c r="L12" s="490">
        <f t="shared" si="9"/>
        <v>0</v>
      </c>
      <c r="M12" s="490">
        <f t="shared" si="9"/>
        <v>0</v>
      </c>
      <c r="N12" s="490">
        <f t="shared" si="9"/>
        <v>0</v>
      </c>
      <c r="O12" s="490">
        <f t="shared" si="9"/>
        <v>0</v>
      </c>
      <c r="P12" s="490">
        <f t="shared" si="9"/>
        <v>0</v>
      </c>
      <c r="Q12" s="490">
        <f t="shared" si="9"/>
        <v>0</v>
      </c>
      <c r="R12" s="490">
        <f t="shared" si="9"/>
        <v>0</v>
      </c>
      <c r="S12" s="490">
        <f t="shared" si="9"/>
        <v>0</v>
      </c>
      <c r="T12" s="490">
        <f t="shared" si="9"/>
        <v>0</v>
      </c>
      <c r="U12" s="490">
        <f t="shared" si="9"/>
        <v>0</v>
      </c>
      <c r="V12" s="490">
        <f t="shared" si="9"/>
        <v>0</v>
      </c>
      <c r="W12" s="490">
        <f t="shared" si="9"/>
        <v>0</v>
      </c>
      <c r="X12" s="490">
        <f t="shared" si="9"/>
        <v>0</v>
      </c>
      <c r="Y12" s="490">
        <f t="shared" si="9"/>
        <v>0</v>
      </c>
      <c r="Z12" s="490">
        <f t="shared" si="9"/>
        <v>0</v>
      </c>
      <c r="AA12" s="490">
        <f t="shared" si="9"/>
        <v>0</v>
      </c>
      <c r="AB12" s="490">
        <f t="shared" si="9"/>
        <v>0</v>
      </c>
      <c r="AC12" s="490">
        <f t="shared" si="9"/>
        <v>0</v>
      </c>
      <c r="AD12" s="490">
        <f t="shared" si="9"/>
        <v>0</v>
      </c>
      <c r="AE12" s="490">
        <f t="shared" si="9"/>
        <v>0</v>
      </c>
      <c r="AF12" s="490">
        <f t="shared" si="9"/>
        <v>0</v>
      </c>
      <c r="AG12" s="490">
        <f t="shared" si="9"/>
        <v>0</v>
      </c>
      <c r="AH12" s="490">
        <f t="shared" si="9"/>
        <v>0</v>
      </c>
      <c r="AI12" s="490">
        <f t="shared" si="9"/>
        <v>0</v>
      </c>
      <c r="AJ12" s="490">
        <f t="shared" si="9"/>
        <v>0</v>
      </c>
      <c r="AK12" s="490">
        <f t="shared" si="9"/>
        <v>0</v>
      </c>
      <c r="AL12" s="490">
        <f t="shared" si="9"/>
        <v>0</v>
      </c>
      <c r="AM12" s="490">
        <f t="shared" si="9"/>
        <v>0</v>
      </c>
      <c r="AN12" s="490">
        <f t="shared" si="9"/>
        <v>0</v>
      </c>
      <c r="AO12" s="490">
        <f t="shared" si="9"/>
        <v>0</v>
      </c>
      <c r="AP12" s="490">
        <f t="shared" si="9"/>
        <v>0</v>
      </c>
      <c r="AQ12" s="490">
        <f t="shared" si="9"/>
        <v>0</v>
      </c>
      <c r="AR12" s="490">
        <f t="shared" si="9"/>
        <v>0</v>
      </c>
      <c r="AS12" s="490">
        <f t="shared" si="9"/>
        <v>0</v>
      </c>
      <c r="AT12" s="490">
        <f t="shared" si="9"/>
        <v>0</v>
      </c>
    </row>
    <row r="13" spans="2:46">
      <c r="B13" s="353" t="str">
        <f>Milestone_5!O20</f>
        <v>Carbon capture sequestration and storage</v>
      </c>
      <c r="C13" s="357">
        <f>Milestone_5!P20</f>
        <v>0</v>
      </c>
      <c r="D13" s="18" t="str">
        <f>IF(ISNUMBER(Milestone_5!Q20),Milestone_5!Q20," ")</f>
        <v xml:space="preserve"> </v>
      </c>
      <c r="E13" s="358" t="str">
        <f>IF(ISNUMBER(Milestone_5!R20),Milestone_5!R20," ")</f>
        <v xml:space="preserve"> </v>
      </c>
      <c r="G13" s="418" t="str">
        <f>B13</f>
        <v>Carbon capture sequestration and storage</v>
      </c>
      <c r="H13" s="421">
        <f t="shared" si="3"/>
        <v>0</v>
      </c>
      <c r="I13" s="490">
        <f t="shared" ref="I13:AT13" si="10">H13 + IF(AND(I$4&gt;=$D13,I$4&lt;=$E13), $C13/($E13-$D13+1), 0)</f>
        <v>0</v>
      </c>
      <c r="J13" s="490">
        <f t="shared" si="10"/>
        <v>0</v>
      </c>
      <c r="K13" s="490">
        <f t="shared" si="10"/>
        <v>0</v>
      </c>
      <c r="L13" s="490">
        <f t="shared" si="10"/>
        <v>0</v>
      </c>
      <c r="M13" s="490">
        <f t="shared" si="10"/>
        <v>0</v>
      </c>
      <c r="N13" s="490">
        <f t="shared" si="10"/>
        <v>0</v>
      </c>
      <c r="O13" s="490">
        <f t="shared" si="10"/>
        <v>0</v>
      </c>
      <c r="P13" s="490">
        <f t="shared" si="10"/>
        <v>0</v>
      </c>
      <c r="Q13" s="490">
        <f t="shared" si="10"/>
        <v>0</v>
      </c>
      <c r="R13" s="490">
        <f t="shared" si="10"/>
        <v>0</v>
      </c>
      <c r="S13" s="490">
        <f t="shared" si="10"/>
        <v>0</v>
      </c>
      <c r="T13" s="490">
        <f t="shared" si="10"/>
        <v>0</v>
      </c>
      <c r="U13" s="490">
        <f t="shared" si="10"/>
        <v>0</v>
      </c>
      <c r="V13" s="490">
        <f t="shared" si="10"/>
        <v>0</v>
      </c>
      <c r="W13" s="490">
        <f t="shared" si="10"/>
        <v>0</v>
      </c>
      <c r="X13" s="490">
        <f t="shared" si="10"/>
        <v>0</v>
      </c>
      <c r="Y13" s="490">
        <f t="shared" si="10"/>
        <v>0</v>
      </c>
      <c r="Z13" s="490">
        <f t="shared" si="10"/>
        <v>0</v>
      </c>
      <c r="AA13" s="490">
        <f t="shared" si="10"/>
        <v>0</v>
      </c>
      <c r="AB13" s="490">
        <f t="shared" si="10"/>
        <v>0</v>
      </c>
      <c r="AC13" s="490">
        <f t="shared" si="10"/>
        <v>0</v>
      </c>
      <c r="AD13" s="490">
        <f t="shared" si="10"/>
        <v>0</v>
      </c>
      <c r="AE13" s="490">
        <f t="shared" si="10"/>
        <v>0</v>
      </c>
      <c r="AF13" s="490">
        <f t="shared" si="10"/>
        <v>0</v>
      </c>
      <c r="AG13" s="490">
        <f t="shared" si="10"/>
        <v>0</v>
      </c>
      <c r="AH13" s="490">
        <f t="shared" si="10"/>
        <v>0</v>
      </c>
      <c r="AI13" s="490">
        <f t="shared" si="10"/>
        <v>0</v>
      </c>
      <c r="AJ13" s="490">
        <f t="shared" si="10"/>
        <v>0</v>
      </c>
      <c r="AK13" s="490">
        <f t="shared" si="10"/>
        <v>0</v>
      </c>
      <c r="AL13" s="490">
        <f t="shared" si="10"/>
        <v>0</v>
      </c>
      <c r="AM13" s="490">
        <f t="shared" si="10"/>
        <v>0</v>
      </c>
      <c r="AN13" s="490">
        <f t="shared" si="10"/>
        <v>0</v>
      </c>
      <c r="AO13" s="490">
        <f t="shared" si="10"/>
        <v>0</v>
      </c>
      <c r="AP13" s="490">
        <f t="shared" si="10"/>
        <v>0</v>
      </c>
      <c r="AQ13" s="490">
        <f t="shared" si="10"/>
        <v>0</v>
      </c>
      <c r="AR13" s="490">
        <f t="shared" si="10"/>
        <v>0</v>
      </c>
      <c r="AS13" s="490">
        <f t="shared" si="10"/>
        <v>0</v>
      </c>
      <c r="AT13" s="490">
        <f t="shared" si="10"/>
        <v>0</v>
      </c>
    </row>
    <row r="14" spans="2:46">
      <c r="B14" s="278" t="str">
        <f>Milestone_5!O21</f>
        <v>Total estimated % GHG reduction</v>
      </c>
      <c r="C14" s="359">
        <f>Milestone_5!P21</f>
        <v>0</v>
      </c>
      <c r="D14" s="360" t="str">
        <f>IF(ISNUMBER(Milestone_5!Q21),Milestone_5!Q21," ")</f>
        <v xml:space="preserve"> </v>
      </c>
      <c r="E14" s="361" t="str">
        <f>IF(ISNUMBER(Milestone_5!R21),Milestone_5!R21," ")</f>
        <v xml:space="preserve"> </v>
      </c>
      <c r="G14" s="418" t="str">
        <f>"Target: "&amp;C3*100&amp;"% Emissions Reduction from Baseline"</f>
        <v>Target: 0% Emissions Reduction from Baseline</v>
      </c>
      <c r="H14" s="418">
        <f>1-$C$3</f>
        <v>1</v>
      </c>
      <c r="I14" s="418">
        <f t="shared" ref="I14:AT14" si="11">1-$C$3</f>
        <v>1</v>
      </c>
      <c r="J14" s="418">
        <f t="shared" si="11"/>
        <v>1</v>
      </c>
      <c r="K14" s="418">
        <f t="shared" si="11"/>
        <v>1</v>
      </c>
      <c r="L14" s="418">
        <f t="shared" si="11"/>
        <v>1</v>
      </c>
      <c r="M14" s="418">
        <f t="shared" si="11"/>
        <v>1</v>
      </c>
      <c r="N14" s="418">
        <f t="shared" si="11"/>
        <v>1</v>
      </c>
      <c r="O14" s="418">
        <f t="shared" si="11"/>
        <v>1</v>
      </c>
      <c r="P14" s="418">
        <f t="shared" si="11"/>
        <v>1</v>
      </c>
      <c r="Q14" s="418">
        <f t="shared" si="11"/>
        <v>1</v>
      </c>
      <c r="R14" s="418">
        <f t="shared" si="11"/>
        <v>1</v>
      </c>
      <c r="S14" s="418">
        <f t="shared" si="11"/>
        <v>1</v>
      </c>
      <c r="T14" s="418">
        <f t="shared" si="11"/>
        <v>1</v>
      </c>
      <c r="U14" s="418">
        <f t="shared" si="11"/>
        <v>1</v>
      </c>
      <c r="V14" s="418">
        <f t="shared" si="11"/>
        <v>1</v>
      </c>
      <c r="W14" s="418">
        <f t="shared" si="11"/>
        <v>1</v>
      </c>
      <c r="X14" s="418">
        <f t="shared" si="11"/>
        <v>1</v>
      </c>
      <c r="Y14" s="418">
        <f t="shared" si="11"/>
        <v>1</v>
      </c>
      <c r="Z14" s="418">
        <f t="shared" si="11"/>
        <v>1</v>
      </c>
      <c r="AA14" s="418">
        <f t="shared" si="11"/>
        <v>1</v>
      </c>
      <c r="AB14" s="418">
        <f t="shared" si="11"/>
        <v>1</v>
      </c>
      <c r="AC14" s="418">
        <f t="shared" si="11"/>
        <v>1</v>
      </c>
      <c r="AD14" s="418">
        <f t="shared" si="11"/>
        <v>1</v>
      </c>
      <c r="AE14" s="418">
        <f t="shared" si="11"/>
        <v>1</v>
      </c>
      <c r="AF14" s="418">
        <f t="shared" si="11"/>
        <v>1</v>
      </c>
      <c r="AG14" s="418">
        <f t="shared" si="11"/>
        <v>1</v>
      </c>
      <c r="AH14" s="418">
        <f t="shared" si="11"/>
        <v>1</v>
      </c>
      <c r="AI14" s="418">
        <f t="shared" si="11"/>
        <v>1</v>
      </c>
      <c r="AJ14" s="418">
        <f t="shared" si="11"/>
        <v>1</v>
      </c>
      <c r="AK14" s="418">
        <f t="shared" si="11"/>
        <v>1</v>
      </c>
      <c r="AL14" s="418">
        <f t="shared" si="11"/>
        <v>1</v>
      </c>
      <c r="AM14" s="418">
        <f t="shared" si="11"/>
        <v>1</v>
      </c>
      <c r="AN14" s="418">
        <f t="shared" si="11"/>
        <v>1</v>
      </c>
      <c r="AO14" s="418">
        <f t="shared" si="11"/>
        <v>1</v>
      </c>
      <c r="AP14" s="418">
        <f t="shared" si="11"/>
        <v>1</v>
      </c>
      <c r="AQ14" s="418">
        <f t="shared" si="11"/>
        <v>1</v>
      </c>
      <c r="AR14" s="418">
        <f t="shared" si="11"/>
        <v>1</v>
      </c>
      <c r="AS14" s="418">
        <f t="shared" si="11"/>
        <v>1</v>
      </c>
      <c r="AT14" s="418">
        <f t="shared" si="11"/>
        <v>1</v>
      </c>
    </row>
    <row r="15" spans="2:46">
      <c r="C15" s="357"/>
      <c r="E15" s="259"/>
      <c r="G15" s="418" t="s">
        <v>842</v>
      </c>
      <c r="H15" s="420">
        <f>SUM(H6:H13)</f>
        <v>0</v>
      </c>
      <c r="I15" s="420">
        <f t="shared" ref="I15:AT15" si="12">SUM(I6:I13)</f>
        <v>0</v>
      </c>
      <c r="J15" s="420">
        <f t="shared" si="12"/>
        <v>0</v>
      </c>
      <c r="K15" s="422">
        <f t="shared" si="12"/>
        <v>0</v>
      </c>
      <c r="L15" s="422">
        <f t="shared" si="12"/>
        <v>0</v>
      </c>
      <c r="M15" s="422">
        <f t="shared" si="12"/>
        <v>0</v>
      </c>
      <c r="N15" s="422">
        <f t="shared" si="12"/>
        <v>0</v>
      </c>
      <c r="O15" s="422">
        <f t="shared" si="12"/>
        <v>0</v>
      </c>
      <c r="P15" s="422">
        <f t="shared" si="12"/>
        <v>0</v>
      </c>
      <c r="Q15" s="422">
        <f t="shared" si="12"/>
        <v>0</v>
      </c>
      <c r="R15" s="422">
        <f t="shared" si="12"/>
        <v>0</v>
      </c>
      <c r="S15" s="422">
        <f t="shared" si="12"/>
        <v>0</v>
      </c>
      <c r="T15" s="422">
        <f t="shared" si="12"/>
        <v>0</v>
      </c>
      <c r="U15" s="422">
        <f t="shared" si="12"/>
        <v>0</v>
      </c>
      <c r="V15" s="422">
        <f t="shared" si="12"/>
        <v>0</v>
      </c>
      <c r="W15" s="422">
        <f t="shared" si="12"/>
        <v>0</v>
      </c>
      <c r="X15" s="422">
        <f t="shared" si="12"/>
        <v>0</v>
      </c>
      <c r="Y15" s="422">
        <f t="shared" si="12"/>
        <v>0</v>
      </c>
      <c r="Z15" s="422">
        <f t="shared" si="12"/>
        <v>0</v>
      </c>
      <c r="AA15" s="422">
        <f t="shared" si="12"/>
        <v>0</v>
      </c>
      <c r="AB15" s="422">
        <f t="shared" si="12"/>
        <v>0</v>
      </c>
      <c r="AC15" s="422">
        <f t="shared" si="12"/>
        <v>0</v>
      </c>
      <c r="AD15" s="422">
        <f t="shared" si="12"/>
        <v>0</v>
      </c>
      <c r="AE15" s="422">
        <f t="shared" si="12"/>
        <v>0</v>
      </c>
      <c r="AF15" s="422">
        <f t="shared" si="12"/>
        <v>0</v>
      </c>
      <c r="AG15" s="422">
        <f t="shared" si="12"/>
        <v>0</v>
      </c>
      <c r="AH15" s="422">
        <f t="shared" si="12"/>
        <v>0</v>
      </c>
      <c r="AI15" s="422">
        <f t="shared" si="12"/>
        <v>0</v>
      </c>
      <c r="AJ15" s="422">
        <f t="shared" si="12"/>
        <v>0</v>
      </c>
      <c r="AK15" s="422">
        <f t="shared" si="12"/>
        <v>0</v>
      </c>
      <c r="AL15" s="422">
        <f t="shared" si="12"/>
        <v>0</v>
      </c>
      <c r="AM15" s="422">
        <f t="shared" si="12"/>
        <v>0</v>
      </c>
      <c r="AN15" s="422">
        <f t="shared" si="12"/>
        <v>0</v>
      </c>
      <c r="AO15" s="422">
        <f t="shared" si="12"/>
        <v>0</v>
      </c>
      <c r="AP15" s="422">
        <f t="shared" si="12"/>
        <v>0</v>
      </c>
      <c r="AQ15" s="422">
        <f t="shared" si="12"/>
        <v>0</v>
      </c>
      <c r="AR15" s="422">
        <f t="shared" si="12"/>
        <v>0</v>
      </c>
      <c r="AS15" s="422">
        <f t="shared" si="12"/>
        <v>0</v>
      </c>
      <c r="AT15" s="422">
        <f t="shared" si="12"/>
        <v>0</v>
      </c>
    </row>
    <row r="16" spans="2:46">
      <c r="C16" s="357"/>
    </row>
    <row r="17" spans="2:50">
      <c r="AX17" s="64"/>
    </row>
    <row r="18" spans="2:50">
      <c r="B18" s="418" t="str">
        <f>G4</f>
        <v>Technology</v>
      </c>
      <c r="C18" s="418" cm="1">
        <f t="array" ref="C18:D18">TRANSPOSE(_xlfn.SEQUENCE(E3 - D3 + 2, 1, D3-1, 1))</f>
        <v>-1</v>
      </c>
      <c r="D18" s="418">
        <v>0</v>
      </c>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row>
    <row r="19" spans="2:50">
      <c r="B19" s="418" t="str">
        <f>G5</f>
        <v>Baseline</v>
      </c>
      <c r="C19" s="418" t="e" cm="1">
        <f t="array" aca="1" ref="C19" ca="1">OFFSET(H5, 0, MATCH(D3-1, H4:AT4, 0)-1, ROWS(H5:H14), COUNT(H4:AT4)+2)</f>
        <v>#N/A</v>
      </c>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row>
    <row r="20" spans="2:50">
      <c r="B20" s="418" t="str">
        <f>G6</f>
        <v>Energy efficiency</v>
      </c>
      <c r="C20" s="418"/>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row>
    <row r="21" spans="2:50">
      <c r="B21" s="418" t="str">
        <f>G7</f>
        <v>Electrification technology</v>
      </c>
      <c r="C21" s="418"/>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row>
    <row r="22" spans="2:50">
      <c r="B22" s="418" t="str">
        <f>G8</f>
        <v>On-site Renewable energy production</v>
      </c>
      <c r="C22" s="418"/>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row>
    <row r="23" spans="2:50">
      <c r="B23" s="418" t="str">
        <f t="shared" ref="B23:B26" si="13">G9</f>
        <v>Renewable energy procurement</v>
      </c>
      <c r="C23" s="418"/>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row>
    <row r="24" spans="2:50">
      <c r="B24" s="418" t="str">
        <f t="shared" si="13"/>
        <v>Low carbon fuels (e.g. biofuels and H2)</v>
      </c>
      <c r="C24" s="418"/>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row>
    <row r="25" spans="2:50">
      <c r="B25" s="418" t="str">
        <f t="shared" si="13"/>
        <v>Fugitive, Mobile and process emission reduction</v>
      </c>
      <c r="C25" s="418"/>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row>
    <row r="26" spans="2:50">
      <c r="B26" s="418" t="str">
        <f t="shared" si="13"/>
        <v xml:space="preserve">Energy storage, grid resiliency and interactivity </v>
      </c>
      <c r="C26" s="418"/>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row>
    <row r="27" spans="2:50">
      <c r="B27" s="418" t="str">
        <f>$G$13</f>
        <v>Carbon capture sequestration and storage</v>
      </c>
      <c r="C27" s="418"/>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row>
    <row r="28" spans="2:50">
      <c r="B28" s="418" t="str">
        <f>$G$14</f>
        <v>Target: 0% Emissions Reduction from Baseline</v>
      </c>
      <c r="C28" s="418"/>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row>
    <row r="33" spans="3:41">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row>
    <row r="34" spans="3:41">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row>
    <row r="35" spans="3:41">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row>
    <row r="36" spans="3:41">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row>
    <row r="37" spans="3:41">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row>
    <row r="38" spans="3:41">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row>
    <row r="39" spans="3:41">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row>
    <row r="40" spans="3:41">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C4B5-9A1E-49A2-986F-965AD0EF0023}">
  <sheetPr codeName="Sheet11">
    <tabColor rgb="FFFFC000"/>
  </sheetPr>
  <dimension ref="A1:G69"/>
  <sheetViews>
    <sheetView showGridLines="0" topLeftCell="A3" zoomScale="70" zoomScaleNormal="70" workbookViewId="0">
      <selection activeCell="D8" sqref="D8"/>
    </sheetView>
  </sheetViews>
  <sheetFormatPr baseColWidth="10" defaultColWidth="8.6640625" defaultRowHeight="16"/>
  <cols>
    <col min="1" max="1" width="3.5" style="91" customWidth="1"/>
    <col min="2" max="2" width="48.1640625" style="91" customWidth="1"/>
    <col min="3" max="3" width="66.83203125" style="91" bestFit="1" customWidth="1"/>
    <col min="4" max="4" width="226.1640625" style="91" customWidth="1"/>
    <col min="5" max="5" width="6.33203125" style="131" customWidth="1"/>
    <col min="6" max="6" width="12" style="91" customWidth="1"/>
    <col min="7" max="16384" width="8.6640625" style="91"/>
  </cols>
  <sheetData>
    <row r="1" spans="1:6" ht="88">
      <c r="A1" s="468"/>
      <c r="B1" s="1030" t="s">
        <v>868</v>
      </c>
      <c r="C1" s="1031"/>
      <c r="D1" s="1031"/>
      <c r="E1" s="1031"/>
      <c r="F1" s="1031"/>
    </row>
    <row r="2" spans="1:6" ht="17" thickBot="1">
      <c r="A2" s="469"/>
      <c r="B2" s="10"/>
      <c r="C2" s="10"/>
      <c r="D2" s="10"/>
      <c r="E2" s="18"/>
      <c r="F2" s="10"/>
    </row>
    <row r="3" spans="1:6" ht="127.5" customHeight="1" thickBot="1">
      <c r="A3" s="470"/>
      <c r="B3" s="1032" t="s">
        <v>1072</v>
      </c>
      <c r="C3" s="1033"/>
      <c r="D3" s="1033"/>
      <c r="E3" s="1033"/>
      <c r="F3" s="1034"/>
    </row>
    <row r="4" spans="1:6" ht="17" thickBot="1">
      <c r="B4" s="10"/>
      <c r="C4" s="10"/>
      <c r="D4" s="10"/>
      <c r="E4" s="18"/>
      <c r="F4" s="10"/>
    </row>
    <row r="5" spans="1:6" ht="58.5" customHeight="1" thickBot="1">
      <c r="B5" s="378" t="s">
        <v>869</v>
      </c>
      <c r="C5" s="379" t="s">
        <v>870</v>
      </c>
      <c r="D5" s="379" t="s">
        <v>871</v>
      </c>
      <c r="E5" s="375" t="s">
        <v>872</v>
      </c>
      <c r="F5" s="375" t="s">
        <v>1158</v>
      </c>
    </row>
    <row r="6" spans="1:6" ht="29" thickBot="1">
      <c r="B6" s="1035" t="s">
        <v>14</v>
      </c>
      <c r="C6" s="1036"/>
      <c r="D6" s="1036"/>
      <c r="E6" s="1036"/>
      <c r="F6" s="1037"/>
    </row>
    <row r="7" spans="1:6" ht="46" customHeight="1">
      <c r="B7" s="1029" t="s">
        <v>1085</v>
      </c>
      <c r="C7" s="493" t="s">
        <v>1086</v>
      </c>
      <c r="D7" s="513" t="s">
        <v>1087</v>
      </c>
      <c r="E7" s="510" t="e" vm="1">
        <v>#VALUE!</v>
      </c>
      <c r="F7" s="514" t="e" vm="2">
        <v>#VALUE!</v>
      </c>
    </row>
    <row r="8" spans="1:6" ht="46" customHeight="1">
      <c r="B8" s="1029"/>
      <c r="C8" s="384" t="s">
        <v>1088</v>
      </c>
      <c r="D8" s="367" t="s">
        <v>1089</v>
      </c>
      <c r="E8" s="418"/>
      <c r="F8" s="502" t="e" vm="2">
        <v>#VALUE!</v>
      </c>
    </row>
    <row r="9" spans="1:6" ht="46" customHeight="1">
      <c r="B9" s="1042" t="s">
        <v>876</v>
      </c>
      <c r="C9" s="384" t="s">
        <v>877</v>
      </c>
      <c r="D9" s="465" t="s">
        <v>873</v>
      </c>
      <c r="E9" s="496" t="e" vm="1">
        <v>#VALUE!</v>
      </c>
      <c r="F9" s="502" t="e" vm="2">
        <v>#VALUE!</v>
      </c>
    </row>
    <row r="10" spans="1:6" ht="46" customHeight="1">
      <c r="B10" s="1029"/>
      <c r="C10" s="385" t="s">
        <v>878</v>
      </c>
      <c r="D10" s="367" t="s">
        <v>874</v>
      </c>
      <c r="E10" s="497" t="e" vm="1">
        <v>#VALUE!</v>
      </c>
      <c r="F10" s="502" t="e" vm="2">
        <v>#VALUE!</v>
      </c>
    </row>
    <row r="11" spans="1:6" ht="46" customHeight="1">
      <c r="B11" s="1029"/>
      <c r="C11" s="386" t="s">
        <v>879</v>
      </c>
      <c r="D11" s="367" t="s">
        <v>952</v>
      </c>
      <c r="E11" s="497" t="e" vm="1">
        <v>#VALUE!</v>
      </c>
      <c r="F11" s="502" t="e" vm="2">
        <v>#VALUE!</v>
      </c>
    </row>
    <row r="12" spans="1:6" ht="46" customHeight="1">
      <c r="B12" s="1029"/>
      <c r="C12" s="386" t="s">
        <v>880</v>
      </c>
      <c r="D12" s="367" t="s">
        <v>953</v>
      </c>
      <c r="E12" s="497" t="e" vm="1">
        <v>#VALUE!</v>
      </c>
      <c r="F12" s="502" t="e" vm="2">
        <v>#VALUE!</v>
      </c>
    </row>
    <row r="13" spans="1:6" ht="46" customHeight="1">
      <c r="B13" s="1029"/>
      <c r="C13" s="381" t="s">
        <v>881</v>
      </c>
      <c r="D13" s="367" t="s">
        <v>954</v>
      </c>
      <c r="E13" s="496" t="e" vm="1">
        <v>#VALUE!</v>
      </c>
      <c r="F13" s="502" t="e" vm="2">
        <v>#VALUE!</v>
      </c>
    </row>
    <row r="14" spans="1:6" ht="46" customHeight="1">
      <c r="B14" s="1043"/>
      <c r="C14" s="387" t="s">
        <v>882</v>
      </c>
      <c r="D14" s="465" t="s">
        <v>875</v>
      </c>
      <c r="E14" s="418"/>
      <c r="F14" s="502" t="e" vm="2">
        <v>#VALUE!</v>
      </c>
    </row>
    <row r="15" spans="1:6" ht="46" customHeight="1">
      <c r="B15" s="1045" t="s">
        <v>883</v>
      </c>
      <c r="C15" s="380" t="s">
        <v>884</v>
      </c>
      <c r="D15" s="367" t="s">
        <v>887</v>
      </c>
      <c r="E15" s="497" t="e" vm="1">
        <v>#VALUE!</v>
      </c>
      <c r="F15" s="502" t="e" vm="2">
        <v>#VALUE!</v>
      </c>
    </row>
    <row r="16" spans="1:6" ht="46" customHeight="1">
      <c r="B16" s="1041"/>
      <c r="C16" s="383" t="s">
        <v>885</v>
      </c>
      <c r="D16" s="367" t="s">
        <v>888</v>
      </c>
      <c r="E16" s="418"/>
      <c r="F16" s="502" t="e" vm="2">
        <v>#VALUE!</v>
      </c>
    </row>
    <row r="17" spans="2:7" ht="46" customHeight="1">
      <c r="B17" s="1041"/>
      <c r="C17" s="414" t="s">
        <v>886</v>
      </c>
      <c r="D17" s="498" t="s">
        <v>889</v>
      </c>
      <c r="E17" s="499" t="e" vm="1">
        <v>#VALUE!</v>
      </c>
      <c r="F17" s="502" t="e" vm="2">
        <v>#VALUE!</v>
      </c>
    </row>
    <row r="18" spans="2:7" ht="46" customHeight="1" thickBot="1">
      <c r="B18" s="1046"/>
      <c r="C18" s="415" t="s">
        <v>1161</v>
      </c>
      <c r="D18" s="500" t="s">
        <v>890</v>
      </c>
      <c r="E18" s="501" t="e" vm="1">
        <v>#VALUE!</v>
      </c>
      <c r="F18" s="515" t="e" vm="2">
        <v>#VALUE!</v>
      </c>
    </row>
    <row r="19" spans="2:7" ht="29" thickBot="1">
      <c r="B19" s="1038" t="s">
        <v>54</v>
      </c>
      <c r="C19" s="1039"/>
      <c r="D19" s="1039"/>
      <c r="E19" s="1039"/>
      <c r="F19" s="1040"/>
    </row>
    <row r="20" spans="2:7" ht="47.5" customHeight="1">
      <c r="B20" s="511" t="s">
        <v>1160</v>
      </c>
      <c r="C20" s="383" t="s">
        <v>891</v>
      </c>
      <c r="D20" s="373" t="s">
        <v>892</v>
      </c>
      <c r="E20" s="512"/>
      <c r="F20" s="516" t="e" vm="2">
        <v>#VALUE!</v>
      </c>
    </row>
    <row r="21" spans="2:7" ht="47.5" customHeight="1">
      <c r="B21" s="787" t="s">
        <v>893</v>
      </c>
      <c r="C21" s="380" t="s">
        <v>897</v>
      </c>
      <c r="D21" s="367" t="s">
        <v>894</v>
      </c>
      <c r="E21" s="496" t="e" vm="1">
        <v>#VALUE!</v>
      </c>
      <c r="F21" s="518" t="e" vm="2">
        <v>#VALUE!</v>
      </c>
    </row>
    <row r="22" spans="2:7" ht="47.5" customHeight="1">
      <c r="B22" s="787"/>
      <c r="C22" s="382" t="s">
        <v>898</v>
      </c>
      <c r="D22" s="367" t="s">
        <v>895</v>
      </c>
      <c r="E22" s="496" t="e" vm="1">
        <v>#VALUE!</v>
      </c>
      <c r="F22" s="518" t="e" vm="2">
        <v>#VALUE!</v>
      </c>
      <c r="G22" s="131"/>
    </row>
    <row r="23" spans="2:7" ht="47.5" customHeight="1" thickBot="1">
      <c r="B23" s="492" t="s">
        <v>896</v>
      </c>
      <c r="C23" s="382" t="s">
        <v>899</v>
      </c>
      <c r="D23" s="491" t="s">
        <v>900</v>
      </c>
      <c r="E23" s="509"/>
      <c r="F23" s="519" t="e" vm="2">
        <v>#VALUE!</v>
      </c>
    </row>
    <row r="24" spans="2:7" ht="29" thickBot="1">
      <c r="B24" s="1049" t="s">
        <v>86</v>
      </c>
      <c r="C24" s="1050"/>
      <c r="D24" s="1050"/>
      <c r="E24" s="1050"/>
      <c r="F24" s="1051"/>
    </row>
    <row r="25" spans="2:7" s="145" customFormat="1" ht="47" customHeight="1">
      <c r="B25" s="1047" t="s">
        <v>917</v>
      </c>
      <c r="C25" s="383" t="s">
        <v>901</v>
      </c>
      <c r="D25" s="373" t="s">
        <v>914</v>
      </c>
      <c r="E25" s="517"/>
      <c r="F25" s="516" t="e" vm="2">
        <v>#VALUE!</v>
      </c>
    </row>
    <row r="26" spans="2:7" s="145" customFormat="1" ht="47" customHeight="1">
      <c r="B26" s="1047"/>
      <c r="C26" s="380" t="s">
        <v>902</v>
      </c>
      <c r="D26" s="367" t="s">
        <v>913</v>
      </c>
      <c r="E26" s="460"/>
      <c r="F26" s="518" t="e" vm="2">
        <v>#VALUE!</v>
      </c>
    </row>
    <row r="27" spans="2:7" s="145" customFormat="1" ht="47" customHeight="1">
      <c r="B27" s="1047"/>
      <c r="C27" s="380" t="s">
        <v>903</v>
      </c>
      <c r="D27" s="367" t="s">
        <v>915</v>
      </c>
      <c r="E27" s="496" t="e" vm="1">
        <v>#VALUE!</v>
      </c>
      <c r="F27" s="518" t="e" vm="2">
        <v>#VALUE!</v>
      </c>
    </row>
    <row r="28" spans="2:7" s="145" customFormat="1" ht="47" customHeight="1">
      <c r="B28" s="1047"/>
      <c r="C28" s="380" t="s">
        <v>904</v>
      </c>
      <c r="D28" s="367" t="s">
        <v>916</v>
      </c>
      <c r="E28" s="460"/>
      <c r="F28" s="518" t="e" vm="2">
        <v>#VALUE!</v>
      </c>
    </row>
    <row r="29" spans="2:7" s="145" customFormat="1" ht="47" customHeight="1">
      <c r="B29" s="1047"/>
      <c r="C29" s="380" t="s">
        <v>905</v>
      </c>
      <c r="D29" s="367" t="s">
        <v>919</v>
      </c>
      <c r="E29" s="494" t="e" vm="1">
        <v>#VALUE!</v>
      </c>
      <c r="F29" s="518" t="e" vm="2">
        <v>#VALUE!</v>
      </c>
    </row>
    <row r="30" spans="2:7" s="145" customFormat="1" ht="47" customHeight="1">
      <c r="B30" s="1047"/>
      <c r="C30" s="521" t="s">
        <v>906</v>
      </c>
      <c r="D30" s="367" t="s">
        <v>1164</v>
      </c>
      <c r="E30" s="460"/>
      <c r="F30" s="518" t="e" vm="2">
        <v>#VALUE!</v>
      </c>
    </row>
    <row r="31" spans="2:7" s="145" customFormat="1" ht="47" customHeight="1">
      <c r="B31" s="1047"/>
      <c r="C31" s="380" t="s">
        <v>907</v>
      </c>
      <c r="D31" s="367" t="s">
        <v>918</v>
      </c>
      <c r="E31" s="494" t="e" vm="1">
        <v>#VALUE!</v>
      </c>
      <c r="F31" s="520" t="e" vm="2">
        <v>#VALUE!</v>
      </c>
    </row>
    <row r="32" spans="2:7" s="145" customFormat="1" ht="47" customHeight="1">
      <c r="B32" s="1047"/>
      <c r="C32" s="380" t="s">
        <v>908</v>
      </c>
      <c r="D32" s="367" t="s">
        <v>920</v>
      </c>
      <c r="E32" s="460"/>
      <c r="F32" s="518" t="e" vm="2">
        <v>#VALUE!</v>
      </c>
    </row>
    <row r="33" spans="2:7" s="145" customFormat="1" ht="47" customHeight="1">
      <c r="B33" s="1047"/>
      <c r="C33" s="380" t="s">
        <v>909</v>
      </c>
      <c r="D33" s="367" t="s">
        <v>922</v>
      </c>
      <c r="E33" s="494" t="e" vm="1">
        <v>#VALUE!</v>
      </c>
      <c r="F33" s="518" t="e" vm="2">
        <v>#VALUE!</v>
      </c>
    </row>
    <row r="34" spans="2:7" s="145" customFormat="1" ht="47" customHeight="1">
      <c r="B34" s="1047"/>
      <c r="C34" s="380" t="s">
        <v>910</v>
      </c>
      <c r="D34" s="367" t="s">
        <v>921</v>
      </c>
      <c r="E34" s="494" t="e" vm="1">
        <v>#VALUE!</v>
      </c>
      <c r="F34" s="518" t="e" vm="2">
        <v>#VALUE!</v>
      </c>
    </row>
    <row r="35" spans="2:7" s="145" customFormat="1" ht="47" customHeight="1">
      <c r="B35" s="1047"/>
      <c r="C35" s="380" t="s">
        <v>911</v>
      </c>
      <c r="D35" s="367" t="s">
        <v>900</v>
      </c>
      <c r="E35" s="460"/>
      <c r="F35" s="519" t="e" vm="2">
        <v>#VALUE!</v>
      </c>
    </row>
    <row r="36" spans="2:7" s="145" customFormat="1" ht="47" customHeight="1">
      <c r="B36" s="1048"/>
      <c r="C36" s="380" t="s">
        <v>912</v>
      </c>
      <c r="D36" s="367" t="s">
        <v>932</v>
      </c>
      <c r="E36" s="460"/>
      <c r="F36" s="518" t="e" vm="2">
        <v>#VALUE!</v>
      </c>
    </row>
    <row r="37" spans="2:7" ht="47" customHeight="1">
      <c r="B37" s="1044" t="s">
        <v>929</v>
      </c>
      <c r="C37" s="380" t="s">
        <v>923</v>
      </c>
      <c r="D37" s="367" t="s">
        <v>931</v>
      </c>
      <c r="E37" s="418"/>
      <c r="F37" s="518" t="e" vm="2">
        <v>#VALUE!</v>
      </c>
      <c r="G37" s="374"/>
    </row>
    <row r="38" spans="2:7" ht="47" customHeight="1">
      <c r="B38" s="1044"/>
      <c r="C38" s="380" t="s">
        <v>1105</v>
      </c>
      <c r="D38" s="367" t="s">
        <v>1106</v>
      </c>
      <c r="E38" s="418"/>
      <c r="F38" s="518" t="e" vm="2">
        <v>#VALUE!</v>
      </c>
      <c r="G38" s="374"/>
    </row>
    <row r="39" spans="2:7" ht="47" customHeight="1">
      <c r="B39" s="1044"/>
      <c r="C39" s="380" t="s">
        <v>924</v>
      </c>
      <c r="D39" s="367" t="s">
        <v>930</v>
      </c>
      <c r="E39" s="418"/>
      <c r="F39" s="518" t="e" vm="2">
        <v>#VALUE!</v>
      </c>
    </row>
    <row r="40" spans="2:7" ht="47" customHeight="1">
      <c r="B40" s="1044"/>
      <c r="C40" s="380" t="s">
        <v>926</v>
      </c>
      <c r="D40" s="367" t="s">
        <v>933</v>
      </c>
      <c r="E40" s="418"/>
      <c r="F40" s="518" t="e" vm="2">
        <v>#VALUE!</v>
      </c>
    </row>
    <row r="41" spans="2:7" ht="47" customHeight="1">
      <c r="B41" s="1044"/>
      <c r="C41" s="380" t="s">
        <v>927</v>
      </c>
      <c r="D41" s="367" t="s">
        <v>934</v>
      </c>
      <c r="E41" s="494" t="e" vm="1">
        <v>#VALUE!</v>
      </c>
      <c r="F41" s="518" t="e" vm="2">
        <v>#VALUE!</v>
      </c>
    </row>
    <row r="42" spans="2:7" ht="47" customHeight="1">
      <c r="B42" s="1044"/>
      <c r="C42" s="380" t="s">
        <v>925</v>
      </c>
      <c r="D42" s="503" t="s">
        <v>935</v>
      </c>
      <c r="E42" s="418"/>
      <c r="F42" s="518" t="e" vm="2">
        <v>#VALUE!</v>
      </c>
    </row>
    <row r="43" spans="2:7" ht="47" customHeight="1" thickBot="1">
      <c r="B43" s="1042"/>
      <c r="C43" s="382" t="s">
        <v>928</v>
      </c>
      <c r="D43" s="369" t="s">
        <v>936</v>
      </c>
      <c r="E43" s="509"/>
      <c r="F43" s="506" t="e" vm="2">
        <v>#VALUE!</v>
      </c>
    </row>
    <row r="44" spans="2:7" ht="29" thickBot="1">
      <c r="B44" s="1052" t="s">
        <v>937</v>
      </c>
      <c r="C44" s="1053"/>
      <c r="D44" s="1053"/>
      <c r="E44" s="1053"/>
      <c r="F44" s="1054"/>
    </row>
    <row r="45" spans="2:7" ht="46.5" customHeight="1">
      <c r="B45" s="1043" t="s">
        <v>938</v>
      </c>
      <c r="C45" s="383" t="s">
        <v>939</v>
      </c>
      <c r="D45" s="373" t="s">
        <v>942</v>
      </c>
      <c r="E45" s="510" t="e" vm="1">
        <v>#VALUE!</v>
      </c>
      <c r="F45" s="508" t="e" vm="2">
        <v>#VALUE!</v>
      </c>
    </row>
    <row r="46" spans="2:7" ht="46.5" customHeight="1">
      <c r="B46" s="1044"/>
      <c r="C46" s="380" t="s">
        <v>940</v>
      </c>
      <c r="D46" s="367" t="s">
        <v>943</v>
      </c>
      <c r="E46" s="494" t="e" vm="1">
        <v>#VALUE!</v>
      </c>
      <c r="F46" s="495" t="e" vm="2">
        <v>#VALUE!</v>
      </c>
    </row>
    <row r="47" spans="2:7" ht="46.5" customHeight="1">
      <c r="B47" s="1044"/>
      <c r="C47" s="380" t="s">
        <v>941</v>
      </c>
      <c r="D47" s="367" t="s">
        <v>944</v>
      </c>
      <c r="E47" s="504"/>
      <c r="F47" s="495" t="e" vm="2">
        <v>#VALUE!</v>
      </c>
    </row>
    <row r="48" spans="2:7" ht="46.5" customHeight="1">
      <c r="B48" s="1029" t="s">
        <v>1073</v>
      </c>
      <c r="C48" s="380" t="s">
        <v>1090</v>
      </c>
      <c r="D48" s="367" t="s">
        <v>1091</v>
      </c>
      <c r="E48" s="504"/>
      <c r="F48" s="495" t="e" vm="2">
        <v>#VALUE!</v>
      </c>
    </row>
    <row r="49" spans="2:6" ht="46.5" customHeight="1">
      <c r="B49" s="1029"/>
      <c r="C49" s="380" t="s">
        <v>1113</v>
      </c>
      <c r="D49" s="367" t="s">
        <v>1114</v>
      </c>
      <c r="E49" s="494" t="e" vm="1">
        <v>#VALUE!</v>
      </c>
      <c r="F49" s="495" t="e" vm="2">
        <v>#VALUE!</v>
      </c>
    </row>
    <row r="50" spans="2:6" ht="46.5" customHeight="1">
      <c r="B50" s="1029"/>
      <c r="C50" s="380" t="s">
        <v>1092</v>
      </c>
      <c r="D50" s="367" t="s">
        <v>1093</v>
      </c>
      <c r="E50" s="504"/>
      <c r="F50" s="495" t="e" vm="2">
        <v>#VALUE!</v>
      </c>
    </row>
    <row r="51" spans="2:6" ht="46.5" customHeight="1">
      <c r="B51" s="1029"/>
      <c r="C51" s="380" t="s">
        <v>1094</v>
      </c>
      <c r="D51" s="367" t="s">
        <v>1097</v>
      </c>
      <c r="E51" s="494" t="e" vm="1">
        <v>#VALUE!</v>
      </c>
      <c r="F51" s="495" t="e" vm="2">
        <v>#VALUE!</v>
      </c>
    </row>
    <row r="52" spans="2:6" ht="46.5" customHeight="1" thickBot="1">
      <c r="B52" s="1029"/>
      <c r="C52" s="382" t="s">
        <v>1095</v>
      </c>
      <c r="D52" s="369" t="s">
        <v>1096</v>
      </c>
      <c r="E52" s="505"/>
      <c r="F52" s="519" t="e" vm="2">
        <v>#VALUE!</v>
      </c>
    </row>
    <row r="53" spans="2:6" ht="29" thickBot="1">
      <c r="B53" s="1055" t="s">
        <v>1074</v>
      </c>
      <c r="C53" s="1056"/>
      <c r="D53" s="1056"/>
      <c r="E53" s="1056"/>
      <c r="F53" s="1057"/>
    </row>
    <row r="54" spans="2:6" ht="47" customHeight="1">
      <c r="B54" s="1041" t="s">
        <v>1075</v>
      </c>
      <c r="C54" s="383" t="s">
        <v>1163</v>
      </c>
      <c r="D54" s="373" t="s">
        <v>1107</v>
      </c>
      <c r="E54" s="507"/>
      <c r="F54" s="516" t="e" vm="2">
        <v>#VALUE!</v>
      </c>
    </row>
    <row r="55" spans="2:6" ht="47" customHeight="1">
      <c r="B55" s="1029"/>
      <c r="C55" s="380" t="s">
        <v>1109</v>
      </c>
      <c r="D55" s="367" t="s">
        <v>1108</v>
      </c>
      <c r="E55" s="504"/>
      <c r="F55" s="518" t="e" vm="2">
        <v>#VALUE!</v>
      </c>
    </row>
    <row r="56" spans="2:6" ht="47" customHeight="1">
      <c r="B56" s="1029"/>
      <c r="C56" s="380" t="s">
        <v>1110</v>
      </c>
      <c r="D56" s="367" t="s">
        <v>1111</v>
      </c>
      <c r="E56" s="504"/>
      <c r="F56" s="518" t="e" vm="2">
        <v>#VALUE!</v>
      </c>
    </row>
    <row r="57" spans="2:6" ht="47" customHeight="1">
      <c r="B57" s="1029"/>
      <c r="C57" s="380" t="s">
        <v>1128</v>
      </c>
      <c r="D57" s="367" t="s">
        <v>1112</v>
      </c>
      <c r="E57" s="504"/>
      <c r="F57" s="518" t="e" vm="2">
        <v>#VALUE!</v>
      </c>
    </row>
    <row r="58" spans="2:6" ht="47" customHeight="1">
      <c r="B58" s="1029"/>
      <c r="C58" s="380" t="s">
        <v>1129</v>
      </c>
      <c r="D58" s="367" t="s">
        <v>1114</v>
      </c>
      <c r="E58" s="494" t="e" vm="1">
        <v>#VALUE!</v>
      </c>
      <c r="F58" s="518" t="e" vm="2">
        <v>#VALUE!</v>
      </c>
    </row>
    <row r="59" spans="2:6" ht="47" customHeight="1">
      <c r="B59" s="1029"/>
      <c r="C59" s="380" t="s">
        <v>1115</v>
      </c>
      <c r="D59" s="367" t="s">
        <v>1116</v>
      </c>
      <c r="E59" s="504"/>
      <c r="F59" s="518" t="e" vm="2">
        <v>#VALUE!</v>
      </c>
    </row>
    <row r="60" spans="2:6" ht="47" customHeight="1">
      <c r="B60" s="1029"/>
      <c r="C60" s="380" t="s">
        <v>1117</v>
      </c>
      <c r="D60" s="367" t="s">
        <v>1118</v>
      </c>
      <c r="E60" s="504"/>
      <c r="F60" s="520" t="e" vm="2">
        <v>#VALUE!</v>
      </c>
    </row>
    <row r="61" spans="2:6" ht="47" customHeight="1">
      <c r="B61" s="1029"/>
      <c r="C61" s="380" t="s">
        <v>1119</v>
      </c>
      <c r="D61" s="367" t="s">
        <v>1120</v>
      </c>
      <c r="E61" s="496" t="e" vm="1">
        <v>#VALUE!</v>
      </c>
      <c r="F61" s="518" t="e" vm="2">
        <v>#VALUE!</v>
      </c>
    </row>
    <row r="62" spans="2:6" ht="47" customHeight="1">
      <c r="B62" s="1029"/>
      <c r="C62" s="380" t="s">
        <v>1121</v>
      </c>
      <c r="D62" s="367" t="s">
        <v>1122</v>
      </c>
      <c r="E62" s="496" t="e" vm="1">
        <v>#VALUE!</v>
      </c>
      <c r="F62" s="518" t="e" vm="2">
        <v>#VALUE!</v>
      </c>
    </row>
    <row r="63" spans="2:6" ht="47" customHeight="1">
      <c r="B63" s="1029"/>
      <c r="C63" s="380" t="s">
        <v>1123</v>
      </c>
      <c r="D63" s="367" t="s">
        <v>1124</v>
      </c>
      <c r="E63" s="504"/>
      <c r="F63" s="518" t="e" vm="2">
        <v>#VALUE!</v>
      </c>
    </row>
    <row r="64" spans="2:6" ht="47" customHeight="1">
      <c r="B64" s="1029"/>
      <c r="C64" s="380" t="s">
        <v>1125</v>
      </c>
      <c r="D64" s="367" t="s">
        <v>1126</v>
      </c>
      <c r="E64" s="504"/>
      <c r="F64" s="518" t="e" vm="2">
        <v>#VALUE!</v>
      </c>
    </row>
    <row r="65" spans="2:6" ht="47" customHeight="1">
      <c r="B65" s="1029"/>
      <c r="C65" s="380" t="s">
        <v>1127</v>
      </c>
      <c r="D65" s="367" t="s">
        <v>1159</v>
      </c>
      <c r="E65" s="504"/>
      <c r="F65" s="518" t="e" vm="2">
        <v>#VALUE!</v>
      </c>
    </row>
    <row r="66" spans="2:6" ht="47" customHeight="1">
      <c r="B66" s="1042" t="s">
        <v>998</v>
      </c>
      <c r="C66" s="380" t="s">
        <v>1102</v>
      </c>
      <c r="D66" s="367" t="s">
        <v>1103</v>
      </c>
      <c r="E66" s="504"/>
      <c r="F66" s="518" t="e" vm="2">
        <v>#VALUE!</v>
      </c>
    </row>
    <row r="67" spans="2:6" ht="47" customHeight="1">
      <c r="B67" s="1041"/>
      <c r="C67" s="380" t="s">
        <v>1100</v>
      </c>
      <c r="D67" s="367" t="s">
        <v>1101</v>
      </c>
      <c r="E67" s="494" t="e" vm="1">
        <v>#VALUE!</v>
      </c>
      <c r="F67" s="518" t="e" vm="2">
        <v>#VALUE!</v>
      </c>
    </row>
    <row r="68" spans="2:6" ht="47" customHeight="1">
      <c r="B68" s="1043"/>
      <c r="C68" s="380" t="s">
        <v>1162</v>
      </c>
      <c r="D68" s="367" t="s">
        <v>1104</v>
      </c>
      <c r="E68" s="494" t="e" vm="1">
        <v>#VALUE!</v>
      </c>
      <c r="F68" s="518" t="e" vm="2">
        <v>#VALUE!</v>
      </c>
    </row>
    <row r="69" spans="2:6" ht="47" customHeight="1" thickBot="1">
      <c r="B69" s="480" t="s">
        <v>1076</v>
      </c>
      <c r="C69" s="380" t="s">
        <v>1099</v>
      </c>
      <c r="D69" s="367" t="s">
        <v>1098</v>
      </c>
      <c r="E69" s="504"/>
      <c r="F69" s="518" t="e" vm="2">
        <v>#VALUE!</v>
      </c>
    </row>
  </sheetData>
  <mergeCells count="17">
    <mergeCell ref="B54:B65"/>
    <mergeCell ref="B48:B52"/>
    <mergeCell ref="B66:B68"/>
    <mergeCell ref="B45:B47"/>
    <mergeCell ref="B9:B14"/>
    <mergeCell ref="B15:B18"/>
    <mergeCell ref="B21:B22"/>
    <mergeCell ref="B25:B36"/>
    <mergeCell ref="B37:B43"/>
    <mergeCell ref="B24:F24"/>
    <mergeCell ref="B44:F44"/>
    <mergeCell ref="B53:F53"/>
    <mergeCell ref="B7:B8"/>
    <mergeCell ref="B1:F1"/>
    <mergeCell ref="B3:F3"/>
    <mergeCell ref="B6:F6"/>
    <mergeCell ref="B19:F19"/>
  </mergeCells>
  <phoneticPr fontId="6" type="noConversion"/>
  <hyperlinks>
    <hyperlink ref="C10" r:id="rId1" display="Direct Emissions from Stationary Combustion Sources " xr:uid="{1DBA5CB5-ADF4-43E0-9C32-40C2156E105A}"/>
    <hyperlink ref="C11" r:id="rId2" display="Direct Emissions from Mobile Combustion Source" xr:uid="{51006C4A-93A5-4AEB-A0CA-F6A446711D46}"/>
    <hyperlink ref="C12" r:id="rId3" display="Direct Fugitive Emissions from Refrigeration, Air Conditioning, Fire Suppression, and Industrial Gases  " xr:uid="{D5F2E554-E2FE-45C6-B9D2-98C25B883041}"/>
    <hyperlink ref="C13" r:id="rId4" display="https://www.epa.gov/sites/default/files/2020-12/documents/electricityemissions.pdf" xr:uid="{426E1CA0-D8AB-4921-B462-F40903470C51}"/>
    <hyperlink ref="E10" r:id="rId5" display="https://www.epa.gov/sites/default/files/2020-12/documents/stationaryemissions.pdf" xr:uid="{8A50D6D3-71BD-42E9-B691-21BFF052298C}"/>
    <hyperlink ref="E12" r:id="rId6" display="https://www.epa.gov/sites/default/files/2020-12/documents/fugitiveemissions.pdf" xr:uid="{60B5DC2C-26E2-489F-AB7A-A358512C45CD}"/>
    <hyperlink ref="E11" r:id="rId7" display="https://www.epa.gov/sites/default/files/2020-12/documents/mobileemissions.pdf" xr:uid="{A6DF868C-6C37-4AE0-A820-22114E8CF231}"/>
    <hyperlink ref="C9" r:id="rId8" display="https://ghgprotocol.org/corporate-standard" xr:uid="{199343A3-4FB9-407E-8314-8E5EB5DB419E}"/>
    <hyperlink ref="C14" r:id="rId9" display="GRI 305: Emissions 2016" xr:uid="{FD0972FA-1C02-4C85-9463-FB5496EC7043}"/>
    <hyperlink ref="C16" r:id="rId10" display="Climate Group RE100" xr:uid="{54D7DFF5-F8C0-4208-8D8D-0E2CF95B3551}"/>
    <hyperlink ref="C15" r:id="rId11" display="SBTi Corporate Net Zero Standard" xr:uid="{F4A8B7AE-A936-4118-90D7-6FC660397306}"/>
    <hyperlink ref="C17" r:id="rId12" display="Energy Intensity Baselining and Tracking Guidance " xr:uid="{CD83DA63-F757-4F97-B23D-8E17A096519D}"/>
    <hyperlink ref="C18" r:id="rId13" display="Engaging supply chain s on decarbonization journey " xr:uid="{FE33A709-EB4E-4840-95C2-9749705DAA98}"/>
    <hyperlink ref="E15" r:id="rId14" display="https://sciencebasedtargets.org/resources/files/Net-Zero-Standard-Criteria.pdf" xr:uid="{6C5BBFF4-4521-4EDC-9DC9-1A30BA5ADA57}"/>
    <hyperlink ref="E17" r:id="rId15" display="https://betterbuildingssolutioncenter.energy.gov/sites/default/files/attachments/Energy Intensity Baselining and Tracking Guidance 2020.pdf" xr:uid="{6A95BBA4-016B-4FE0-9805-A1C16DE22FDE}"/>
    <hyperlink ref="E18" r:id="rId16" display="https://sciencebasedtargets.org/resources/files/Supplier-Engagement-Guidance.pdf" xr:uid="{777BF35C-D85D-4F16-8445-E8582F1CC452}"/>
    <hyperlink ref="C20" r:id="rId17" display="ISO 50001 Energy Management" xr:uid="{7A1897CD-ABAC-40F4-8AB3-3CAA7080A059}"/>
    <hyperlink ref="C21" r:id="rId18" display="Benchmarking Industrial Energy Performance" xr:uid="{BA6DF41A-D0A8-495E-AB98-5F8C0ACD9865}"/>
    <hyperlink ref="C22" r:id="rId19" display="Raytheon Technologies Energy Management Guidebook" xr:uid="{654A432A-80EE-4F78-BAED-2D889A0FFB25}"/>
    <hyperlink ref="E21" r:id="rId20" display="https://www.energystar.gov/sites/default/files/tools/EPIBenchmarkingGuide_form.pdf" xr:uid="{D3962235-2AA9-4CFA-98A0-456CD19399FE}"/>
    <hyperlink ref="C23" r:id="rId21" display="Pathways to Commercial Liftoff" xr:uid="{1225093D-138C-4FE4-A1E8-0B394D98DD9B}"/>
    <hyperlink ref="C25" r:id="rId22" display="Energy Efficiency Measures" xr:uid="{DC7DAACA-538B-4E24-A854-5DD2FC4FD941}"/>
    <hyperlink ref="C26" r:id="rId23" display="Leveraging Electrification" xr:uid="{0C1D86E2-177B-4AB6-99AE-ED43919FF903}"/>
    <hyperlink ref="C29" r:id="rId24" display="Low-Emission Alternatives to Industrial Thermal Loads" xr:uid="{7A927A53-4F64-4C51-9545-5919C3204043}"/>
    <hyperlink ref="C28" r:id="rId25" display="Utility Engagement Playbook for Industrial Customers" xr:uid="{B31A3BDF-0B8D-4FA3-BDD0-1BA67CCD2B8E}"/>
    <hyperlink ref="C31" r:id="rId26" display="Portfolio Screening and Prioritization for Onsite Energy" xr:uid="{4AAEE852-59AC-4C6D-82F2-3B6A3CCBAA7B}"/>
    <hyperlink ref="C35" r:id="rId27" display="Pathways to Commercial Liftoff" xr:uid="{631B136F-7DA8-4F9C-A0F3-7BE87960430E}"/>
    <hyperlink ref="C36" r:id="rId28" display="Better Plants Trainings" xr:uid="{1BF5B981-1C4A-44CB-B23E-8C2A462A633F}"/>
    <hyperlink ref="C33" r:id="rId29" display="Transitioning to Low-GWP Alternatives" xr:uid="{D40FA47F-1754-47FE-8BCC-4464D87D7D4B}"/>
    <hyperlink ref="C32" r:id="rId30" display="Carbon Capture, Utilisation and Storage" xr:uid="{3985FD8B-90FB-4638-BB4B-4668B5649120}"/>
    <hyperlink ref="C30" r:id="rId31" display="Case Study Webinar Recording: AstraZeneca &amp; Vanguard Renewables U.S. RNG Agreement" xr:uid="{B38C2EA9-6EE6-4153-AD39-A6837AF8EA0B}"/>
    <hyperlink ref="C27" r:id="rId32" display="Electrification Working Group" xr:uid="{DE23D8F8-457B-45AA-9EE8-3C9F928FD422}"/>
    <hyperlink ref="C34" r:id="rId33" display="Best Practices for Replacing HFCs with Low-GWP Refrigerants" xr:uid="{B87C89CC-E352-459E-8F2D-98134F6D8CD0}"/>
    <hyperlink ref="E22" r:id="rId34" display="https://betterbuildingssolutioncenter.energy.gov/sites/default/files/tools/4519539_RTX Energy BMP Guidebook_Interactive_10-2022.pdf" xr:uid="{5E8D5500-DF3D-40C4-99C1-692442CDE133}"/>
    <hyperlink ref="E27" r:id="rId35" display="https://betterbuildingssolutioncenter.energy.gov/sites/default/files/attachments/Electrification Planning Working Group.pdf" xr:uid="{69D013B4-EF80-4388-BEC9-F4FD947260E4}"/>
    <hyperlink ref="E29" r:id="rId36" display="https://betterbuildingssolutioncenter.energy.gov/sites/default/files/Low Emissions Alt Fact Sheet.pdf" xr:uid="{B1D62CFC-BCCA-4913-B686-19AFCB9FFAE8}"/>
    <hyperlink ref="E33" r:id="rId37" display="https://www.epa.gov/sites/default/files/2021-02/documents/transitioning_to_low-gwp_alternatives_in_res_and_com_ac_chillers.pdf" xr:uid="{98988340-45CB-407C-B130-10C744AEBE88}"/>
    <hyperlink ref="E34" r:id="rId38" display="https://betterbuildingssolutioncenter.energy.gov/sites/default/files/2024-04/2024Summit-15toPhasedown_ReplacingHFCs_Refrigerants-Slides.pdf" xr:uid="{7E25855B-19CE-4A4A-AFFB-3AB0D7C4363A}"/>
    <hyperlink ref="E31" r:id="rId39" display="https://betterbuildingssolutioncenter.energy.gov/sites/default/files/attachments/PortfolioPrioritization_Onsite.pdf" xr:uid="{FA21EE81-2950-4A2F-A5C3-379A86A4CB94}"/>
    <hyperlink ref="C37" r:id="rId40" display="Technology Focus Area" xr:uid="{95CFAE18-6D6F-43AB-9862-30D3BD73E767}"/>
    <hyperlink ref="C39" r:id="rId41" display="Renewable Energy " xr:uid="{F3AA8817-2B90-47A0-8E8E-6F8D232E01A0}"/>
    <hyperlink ref="C40" r:id="rId42" display="Alternative Fuel Data Center" xr:uid="{AD0F510B-3AB3-4F4F-B918-80A2375F9AF4}"/>
    <hyperlink ref="C41" r:id="rId43" display="Demand Response in Industrial Facilities: Peak Electric Demand" xr:uid="{9DF09F40-7D80-4F28-AF93-DD30A07C095A}"/>
    <hyperlink ref="C43" r:id="rId44" display="Industrial Technology Validation Program" xr:uid="{701559DD-664E-4C27-84DE-A5691BA18DC7}"/>
    <hyperlink ref="C42" r:id="rId45" display="Combined Heat and Power (CHP) Deployment Resources" xr:uid="{5D913E46-0572-4F43-A969-1488E92DFE13}"/>
    <hyperlink ref="E41" r:id="rId46" display="https://betterbuildingssolutioncenter.energy.gov/sites/default/files/attachments/Demand Response in Industrial Manufacturing_Final V2.pdf" xr:uid="{C7BAFF08-7827-4BDC-A7B6-4BF552A9E8A2}"/>
    <hyperlink ref="C45" r:id="rId47" display="Industrial Decarbonization Roadmap" xr:uid="{33F90221-AFBE-494B-9BBD-B33E22605438}"/>
    <hyperlink ref="C46" r:id="rId48" display="TCFD Climate Scenario Analysis" xr:uid="{C6794E93-FD43-4766-AAA3-59EB54363C1C}"/>
    <hyperlink ref="C47" r:id="rId49" display="TCFD Recommendations" xr:uid="{3C9A0D80-71B3-4AE7-8178-E7F56206AC41}"/>
    <hyperlink ref="E45" r:id="rId50" display="https://www.energy.gov/sites/default/files/2022-09/Industrial Decarbonization Roadmap.pdf" xr:uid="{06EAE2FB-9B93-453D-B17B-FC780191CF90}"/>
    <hyperlink ref="E46" r:id="rId51" display="https://www.accountingforsustainability.org/content/dam/a4s/corporate/home/KnowledgeHub/Guide-pdf/A4S Guide to TCFD Climate Scenario Analysis.pdf.downloadasset.pdf" xr:uid="{59A7506B-8EA0-4F04-82F0-29D1FD448115}"/>
    <hyperlink ref="E9" r:id="rId52" display="https://ghgprotocol.org/sites/default/files/standards/ghg-protocol-revised.pdf" xr:uid="{6995E1A1-42CC-443A-961D-D0C70E5A220F}"/>
    <hyperlink ref="E13" r:id="rId53" display="https://www.epa.gov/sites/default/files/2020-12/documents/electricityemissions.pdf" xr:uid="{9CAC53E1-2292-4406-8253-CF0363814480}"/>
    <hyperlink ref="C7" r:id="rId54" xr:uid="{6EA38226-93A1-4B84-99FE-013D2C0A77A7}"/>
    <hyperlink ref="E7" r:id="rId55" display="https://www.sustainability.com/globalassets/sustainability.com/thinking/pdfs/sa-common-threads-full-report.pdf" xr:uid="{B100443E-75C2-447D-858E-98A54BDEDDCA}"/>
    <hyperlink ref="C8" r:id="rId56" display="ESSENTIAL GUIDE TO ENHANCING INVESTOR ENGAGEMENT" xr:uid="{AD496604-3C46-48F1-A8A5-03A240A094C2}"/>
    <hyperlink ref="C48" r:id="rId57" xr:uid="{A123B4BD-29D1-47A1-9A70-FA016414ABBF}"/>
    <hyperlink ref="C49" r:id="rId58" display="Task 4.2: How to get internal carbon pricing right" xr:uid="{A2677E64-1232-4AE9-A01B-C0ED07D63AB4}"/>
    <hyperlink ref="E49" r:id="rId59" display="https://kpmg.com/kpmg-us/content/dam/kpmg/pdf/2023/how-to-get-internal-carbon-pricing-right.pdf" xr:uid="{0298AFF2-8A9D-48A8-9AA6-1E891D775F64}"/>
    <hyperlink ref="C50" r:id="rId60" xr:uid="{F01033E2-482E-44ED-B0A3-093C0BE0A950}"/>
    <hyperlink ref="E51" r:id="rId61" display="https://liftoff.energy.gov/wp-content/uploads/2025/01/20230321-H2-Pathways-to-Commercial-Liftoff-Webinar-vF_web_Feb-2025.pdf" xr:uid="{FF5E69FC-3CC3-46CC-8563-42FEDA091E87}"/>
    <hyperlink ref="C52" r:id="rId62" xr:uid="{A7708B31-9D94-4D36-B954-52E5BF7282B3}"/>
    <hyperlink ref="C51" r:id="rId63" xr:uid="{E4B1DB19-7B67-4E6D-A8BA-B9CEB2A95D24}"/>
    <hyperlink ref="C69" r:id="rId64" xr:uid="{172149E5-8877-4751-A57F-9A0362852446}"/>
    <hyperlink ref="E67" r:id="rId65" display="https://www.edf.org/sites/default/files/documents/MACC_2.0 report_Evolved_EDF.pdf" xr:uid="{F318B8FD-B1E1-42C6-9AC5-D098B7AAD42B}"/>
    <hyperlink ref="E68" r:id="rId66" display="https://www.nrel.gov/docs/fy25osti/92410.pdf" xr:uid="{5476A124-94EE-4AEE-9344-9ED3484CEC13}"/>
    <hyperlink ref="C68" r:id="rId67" display="https://www.nrel.gov/docs/fy25osti/92410.pdf" xr:uid="{ED7FA785-B7E1-4A58-A837-969AF3968E43}"/>
    <hyperlink ref="C67" r:id="rId68" xr:uid="{A92454D1-B6C9-4525-AD51-8D3AC405DE5F}"/>
    <hyperlink ref="C66" r:id="rId69" xr:uid="{114D8083-09DF-4F64-9B64-76456B09AB6D}"/>
    <hyperlink ref="C38" r:id="rId70" xr:uid="{13A947CF-7A8B-4CAC-80FE-B33D180EAB23}"/>
    <hyperlink ref="C55" r:id="rId71" xr:uid="{3DDDB159-D22B-477A-BA77-B45EDD2D4C5E}"/>
    <hyperlink ref="C54" r:id="rId72" display="Task 2.2:ArcelorMittal USA: Power of 1 Contest Increases Employee Engagement and Generates Low- and No-Cost Project Ideas " xr:uid="{E239D8C0-0F02-44BE-9BE0-2F4D82FB59E5}"/>
    <hyperlink ref="C56" r:id="rId73" display="Task 2.3: Better plants: Diagnostic tools" xr:uid="{BD4B138E-4179-4A73-978A-B503E2C97B4D}"/>
    <hyperlink ref="C57" r:id="rId74" display="Task 2.4:​Nissan North America's Modified Payback Approach to Funding Energy Efficiency Projects " xr:uid="{4AF42B69-DCAE-4FB7-AA79-0F61745594D4}"/>
    <hyperlink ref="C58" r:id="rId75" display="Task 2.4KPMG's Guide to Implementing Internal Carbon Pricing" xr:uid="{E643572C-4FB7-4ABC-B164-1036D5075334}"/>
    <hyperlink ref="C59" r:id="rId76" xr:uid="{5409708A-F4EC-44D2-B145-5E430604D9C8}"/>
    <hyperlink ref="C60" r:id="rId77" xr:uid="{278D1985-7ECF-4A6B-B9BA-BB721F7391AE}"/>
    <hyperlink ref="E58" r:id="rId78" display="https://kpmg.com/kpmg-us/content/dam/kpmg/pdf/2023/how-to-get-internal-carbon-pricing-right.pdf" xr:uid="{813C8F22-FDEF-41DC-98AB-03F3C72EF8F9}"/>
    <hyperlink ref="E61" r:id="rId79" display="https://www.cov.com/-/media/files/corporate/sustainability-toolkit/sustainability-toolkit-corporate-strategy-for-sustainable-energy-procurement.pdf" xr:uid="{6346C792-81C2-47AF-9312-0BB8B75B89DF}"/>
    <hyperlink ref="C61" r:id="rId80" xr:uid="{F58720B6-8489-4DB1-A04E-412A434481D5}"/>
    <hyperlink ref="C62" r:id="rId81" xr:uid="{DE2CBA2B-96A5-40C0-B852-750BB5418528}"/>
    <hyperlink ref="E62" r:id="rId82" display="https://www.icmagroup.org/assets/documents/Sustainable-finance/2022-updates/Green-Bond-Principles-June-2022-060623.pdf" xr:uid="{1E5D2ADE-37DE-4BEA-BD13-33AD1C608F6E}"/>
    <hyperlink ref="C63" r:id="rId83" display="Task 2.7: Electrolux Group: Driving Climate Action through the Green Financing Framework and Long-term Incentive Program" xr:uid="{87C79CF5-4CF8-491D-8F71-6DCEECF6FD83}"/>
    <hyperlink ref="C64" r:id="rId84" xr:uid="{BE505803-010B-4712-BD1E-4ABFF7141543}"/>
    <hyperlink ref="C65" r:id="rId85" xr:uid="{E8E60FB4-069D-4C88-AD81-71CAA7DA3AD6}"/>
    <hyperlink ref="F7" r:id="rId86" display="https://web.archive.org/web/20250411160651/https:/www.sustainability.com/globalassets/sustainability.com/thinking/pdfs/sa-common-threads-full-report.pdf" xr:uid="{F89A761E-1994-47FF-9469-D4A4A0BBE75B}"/>
    <hyperlink ref="F8" r:id="rId87" display="https://web.archive.org/web/20250411162423/https:/www.accountingforsustainability.org/content/dam/a4s/corporate/home/KnowledgeHub/Guide-pdf/A4S Enhancing Investor Engagement Maturity Map.pdf.downloadasset.pdf" xr:uid="{623D4543-F8CF-439A-9456-0C677F9CE07F}"/>
    <hyperlink ref="F9" r:id="rId88" display="https://web.archive.org/web/20250411181423/https:/ghgprotocol.org/sites/default/files/standards/ghg-protocol-revised.pdf" xr:uid="{969C0EFD-DF14-49B8-B4CA-6D31947D5626}"/>
    <hyperlink ref="F10" r:id="rId89" display="https://web.archive.org/web/20250411163104/https:/www.epa.gov/sites/default/files/2020-12/documents/stationaryemissions.pdf" xr:uid="{885C55BD-D872-4BC1-AF8C-85ADCC9B2AC8}"/>
    <hyperlink ref="F12" r:id="rId90" display="https://web.archive.org/web/20250411163350/https:/www.epa.gov/sites/default/files/2020-12/documents/fugitiveemissions.pdf" xr:uid="{F639F8A2-7C9D-45F5-9E47-D2F6D2873437}"/>
    <hyperlink ref="F11" r:id="rId91" display="https://web.archive.org/web/20250411163335/https:/www.epa.gov/sites/default/files/2020-12/documents/mobileemissions.pdf" xr:uid="{8073E23C-DDC7-4315-AC9C-35C0401B1115}"/>
    <hyperlink ref="F13" r:id="rId92" display="https://web.archive.org/web/20250411163505/https:/www.epa.gov/sites/default/files/2020-12/documents/electricityemissions.pdf" xr:uid="{13D4CCA7-61A3-4502-84E2-2CB0380DBD26}"/>
    <hyperlink ref="F14" r:id="rId93" display="https://web.archive.org/web/20250411163500/https:/www.globalreporting.org/how-to-use-the-gri-standards/resource-center/?g=e918f7e7-34dc-40f2-9efa-0ff88f1ec1d6&amp;id=12510" xr:uid="{D37085CA-F52E-4A15-AB6C-3793586DC9E3}"/>
    <hyperlink ref="F15" r:id="rId94" display="https://web.archive.org/web/20250411181209/https:/sciencebasedtargets.org/resources/files/Net-Zero-Standard-Criteria.pdf" xr:uid="{A651AF48-276B-414E-AF62-26287B8343A9}"/>
    <hyperlink ref="F16" r:id="rId95" display="https://web.archive.org/web/20250411163954/https:/www.there100.org/technical-guidance" xr:uid="{2BB6D523-316F-4488-A1AB-78620008C96D}"/>
    <hyperlink ref="F17" r:id="rId96" display="https://betterbuildingssolutioncenter.energy.gov/sites/default/files/attachments/Energy Intensity Baselining and Tracking Guidance 2020.pdf" xr:uid="{455805A2-6A8A-4B9A-BDCC-7C86D67BD606}"/>
    <hyperlink ref="F18" r:id="rId97" display="https://web.archive.org/web/20250411164558/https:/sciencebasedtargets.org/resources/files/Supplier-Engagement-Guidance.pdf" xr:uid="{54705054-3AAF-435A-8E5C-AE2890E9A0CC}"/>
    <hyperlink ref="F20" r:id="rId98" display="https://web.archive.org/web/20250411164835/https:/www1.eere.energy.gov/manufacturing/eguide/iso_step_2_5.html" xr:uid="{69767B11-3A5E-40B1-A4F8-1A05657C4658}"/>
    <hyperlink ref="F21" r:id="rId99" display="https://web.archive.org/web/20250403210539/https:/www.energystar.gov/sites/default/files/tools/EPIBenchmarkingGuide_form.pdf" xr:uid="{FB145682-5B65-4E41-8744-216C82A94A95}"/>
    <hyperlink ref="F22" r:id="rId100" display="https://web.archive.org/web/20250411165233/https:/betterbuildingssolutioncenter.energy.gov/sites/default/files/tools/4519539_RTX Energy BMP Guidebook_Interactive_10-2022.pdf" xr:uid="{40B79F93-A553-4360-A65A-890BAC73F13D}"/>
    <hyperlink ref="F23" r:id="rId101" display="https://web.archive.org/web/20250411165949/https:/liftoff.energy.gov/" xr:uid="{EA8E5FC5-8F60-48B0-BCE1-3B17BA74DC84}"/>
    <hyperlink ref="F25" r:id="rId102" display="https://web.archive.org/web/20250411165959/https:/betterbuildingssolutioncenter.energy.gov/efficiency/energy-efficiency/tech" xr:uid="{0FEA3FA0-C479-4610-9A69-337BFE1FF307}"/>
    <hyperlink ref="F26" r:id="rId103" display="https://web.archive.org/web/20250411170626/https:/betterbuildingssolutioncenter.energy.gov/efficiency/electrification" xr:uid="{80306DD8-A4B7-4BB9-93DB-E47D23C5E67E}"/>
    <hyperlink ref="F27" r:id="rId104" display="https://web.archive.org/web/20250411180657/https:/betterbuildingssolutioncenter.energy.gov/sites/default/files/attachments/Electrification Planning Working Group.pdf" xr:uid="{A3D8D6C3-00D5-4704-802D-8894E8A28BC0}"/>
    <hyperlink ref="F28" r:id="rId105" display="https://web.archive.org/web/20250411170935/https:/www.renewablethermal.org/utility-engagement-playbook/" xr:uid="{1E028D1B-202C-4983-AF62-A11D1F48E3E9}"/>
    <hyperlink ref="F29" r:id="rId106" display="https://web.archive.org/web/20250411171002/https:/betterbuildingssolutioncenter.energy.gov/sites/default/files/Low Emissions Alt Fact Sheet.pdf" xr:uid="{C1530DE3-A85F-4137-925E-E2866897D38E}"/>
    <hyperlink ref="F30" r:id="rId107" display="https://web.archive.org/web/20250411171302/https:/www.renewablethermal.org/case-study-webinar-recording-astrazeneca-amp-vanguard-renewables-u-s-rng-agreement/" xr:uid="{D97BB35C-0D94-42A1-AFBF-F5FE8CF1125B}"/>
    <hyperlink ref="F32" r:id="rId108" display="https://web.archive.org/web/20250411171637/https:/www.iea.org/energy-system/carbon-capture-utilisation-and-storage" xr:uid="{240DA939-DEE3-4384-805F-BC819721D96D}"/>
    <hyperlink ref="F33" r:id="rId109" display="https://web.archive.org/web/20250411171710/https:/www.epa.gov/sites/default/files/2021-02/documents/transitioning_to_low-gwp_alternatives_in_res_and_com_ac_chillers.pdf" xr:uid="{CB63F1F3-EA9C-4BA9-A4BC-61566D0749BF}"/>
    <hyperlink ref="F35" r:id="rId110" display="https://web.archive.org/web/20250411165949/https:/liftoff.energy.gov/" xr:uid="{ABDB5418-2E9F-4998-BCF2-514401CCDEA5}"/>
    <hyperlink ref="F34" r:id="rId111" display="https://web.archive.org/web/20250411172122/https:/betterbuildingssolutioncenter.energy.gov/sites/default/files/2024-04/2024Summit-15toPhasedown_ReplacingHFCs_Refrigerants-Slides.pdf" xr:uid="{6D9536AD-5EC7-402F-911D-DC152899B230}"/>
    <hyperlink ref="F36" r:id="rId112" display="https://web.archive.org/web/20250411172233/https:/betterbuildingssolutioncenter.energy.gov/better-plants/better-plants-trainings" xr:uid="{D66B2BA7-E105-44B6-8361-BC5E71C367C4}"/>
    <hyperlink ref="F37" r:id="rId113" display="https://web.archive.org/web/20250411172401/https:/betterbuildingssolutioncenter.energy.gov/better plants/better-plants-resource-library" xr:uid="{57B4C4DC-4E27-4B1D-8C10-524013EB36BA}"/>
    <hyperlink ref="F38" r:id="rId114" display="https://web.archive.org/web/20250411172540/https:/betterbuildingssolutioncenter.energy.gov/implementation-models/general-motors-energy-and-carbon-optimization-toolbox" xr:uid="{58E55442-5A8B-4197-A49E-14FED2715CE4}"/>
    <hyperlink ref="F39" r:id="rId115" display="https://web.archive.org/web/20250411172806/https:/betterbuildingssolutioncenter.energy.gov/renewables" xr:uid="{9DAB3B89-E14B-4E06-9AC0-E4D3FE40159B}"/>
    <hyperlink ref="F40" r:id="rId116" display="https://afdc.energy.gov/" xr:uid="{9FD39E6B-75FE-493B-9D6D-F618E1FE39A3}"/>
    <hyperlink ref="F41" r:id="rId117" display="https://web.archive.org/web/20250411173034/https:/betterbuildingssolutioncenter.energy.gov/sites/default/files/attachments/Demand Response in Industrial Manufacturing_Final V2.pdf" xr:uid="{62984C48-6B73-4BCE-8798-11A5662487A6}"/>
    <hyperlink ref="F42" r:id="rId118" display="https://web.archive.org/web/20250411173054/https:/betterbuildingssolutioncenter.energy.gov/onsite-energy/chp-deployment-resources" xr:uid="{6E18BB17-F431-4C14-A4CD-3F8ABEAAAD34}"/>
    <hyperlink ref="F54" r:id="rId119" display="https://web.archive.org/web/20250411173323/https:/www.energy.gov/sites/default/files/2022-09/Industrial Decarbonization Roadmap.pdf" xr:uid="{A52D43B4-DCBC-4F96-8E0D-D8B9EDB3E1FE}"/>
    <hyperlink ref="F52" r:id="rId120" display="https://web.archive.org/web/20250411173512/https:/betterbuildingssolutioncenter.energy.gov/industrial-technology-validation-program" xr:uid="{500D045B-46C2-41F4-B418-36CF7DCE4F7E}"/>
    <hyperlink ref="F55" r:id="rId121" display="https://web.archive.org/web/20250411174022/https:/bptraining.ornl.gov/" xr:uid="{3D722CAA-C84B-429D-B714-D068838D6B49}"/>
    <hyperlink ref="F56" r:id="rId122" display="https://web.archive.org/web/20250411174018/https:/betterbuildingssolutioncenter.energy.gov/better-plants/diagnostic-tools" xr:uid="{53C006AC-5DF1-463C-8962-5580766BC6FA}"/>
    <hyperlink ref="F58" r:id="rId123" display="https://web.archive.org/web/20250411174248/https:/kpmg.com/kpmg-us/content/dam/kpmg/pdf/2023/how-to-get-internal-carbon-pricing-right.pdf" xr:uid="{4F4259F4-D91F-42C0-8A83-DD178A96384D}"/>
    <hyperlink ref="F57" r:id="rId124" display="https://web.archive.org/web/20250411174311/https:/betterbuildingssolutioncenter.energy.gov/implementation-models/nissan-north-america-funds-energy-efficiency-projects-modified-payback" xr:uid="{E1190732-2C90-4FB1-AFA9-B3CE1F84A238}"/>
    <hyperlink ref="F59" r:id="rId125" display="https://web.archive.org/web/20250411174549/https:/betterbuildingssolutioncenter.energy.gov/implementation-models/energy-champions-all-plants" xr:uid="{88635213-8AD8-460A-9FEC-E32EC4D9411D}"/>
    <hyperlink ref="F60" r:id="rId126" display="https://web.archive.org/web/20250411174647/https:/betterbuildingssolutioncenter.energy.gov/implementation-models/celanese-corporation-raising-energy-engagement-plant-operations-teams-energy" xr:uid="{3D537481-BF9A-4617-8570-C4DCC48824B2}"/>
    <hyperlink ref="F61" r:id="rId127" display="https://web.archive.org/web/20250411174915/https:/www.cov.com/-/media/files/corporate/sustainability-toolkit/sustainability-toolkit-corporate-strategy-for-sustainable-energy-procurement.pdf" xr:uid="{B62407A1-5E8C-4216-A669-621024A6F0BF}"/>
    <hyperlink ref="F62" r:id="rId128" display="https://web.archive.org/web/20250411174913/https:/www.icmagroup.org/assets/documents/Sustainable-finance/2022-updates/Green-Bond-Principles-June-2022-060623.pdf" xr:uid="{E3385720-A0EA-4C15-B33A-A614B568E166}"/>
    <hyperlink ref="F63" r:id="rId129" display="https://web.archive.org/web/20250411175334/https:/betterbuildingssolutioncenter.energy.gov/implementation-models/electrolux-group-driving-climate-action-through-green-financing-framework-and" xr:uid="{5F45A8E1-A838-4066-92D8-FB735D85F24A}"/>
    <hyperlink ref="F64" r:id="rId130" display="https://web.archive.org/web/20250411175342/https:/betterbuildingssolutioncenter.energy.gov/better-plants/partner-recognition" xr:uid="{E9C6645E-427A-41F8-8866-73DBE444EDBA}"/>
    <hyperlink ref="F65" r:id="rId131" display="https://web.archive.org/web/20250411175622/https:/www.energystar.gov/industrial_plants/earn-recognition/plant-certification" xr:uid="{9CB20345-A750-4789-81F2-5310E152D5C3}"/>
    <hyperlink ref="F66" r:id="rId132" display="https://web.archive.org/web/20250411175709/https:/betterbuildingssolutioncenter.energy.gov/financing-navigator/allies" xr:uid="{8D376342-A093-4A36-BE4C-63B7A09FE190}"/>
    <hyperlink ref="F67" r:id="rId133" display="https://web.archive.org/web/20250411175821/https:/www.edf.org/sites/default/files/documents/MACC_2.0 report_Evolved_EDF.pdf" xr:uid="{8C8757CF-599E-49E5-97C3-C9CC663482E1}"/>
    <hyperlink ref="F68" r:id="rId134" display="https://web.archive.org/web/20250411175903/https:/www.nrel.gov/docs/fy25osti/92410.pdf" xr:uid="{5CC89237-4CFA-488C-BBCB-B01B97CCED3F}"/>
    <hyperlink ref="F69" r:id="rId135" display="https://web.archive.org/web/20250411180252/https:/help.cdp.net/en-us/knowledgebase/article/KA-01025" xr:uid="{37F37801-3715-4E78-A0F0-75A9D76D287F}"/>
    <hyperlink ref="F31" r:id="rId136" display="https://web.archive.org/web/20250411180432/https:/betterbuildingssolutioncenter.energy.gov/sites/default/files/attachments/PortfolioPrioritization_Onsite.pdf" xr:uid="{1DF33D0A-0D22-40D6-A58C-DA0A61F9865F}"/>
  </hyperlinks>
  <pageMargins left="0.7" right="0.7" top="0.75" bottom="0.75" header="0.3" footer="0.3"/>
  <pageSetup orientation="portrait" r:id="rId137"/>
  <drawing r:id="rId13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B345-8637-4E11-B20A-DC58836D47E7}">
  <dimension ref="A1:J24"/>
  <sheetViews>
    <sheetView workbookViewId="0">
      <selection activeCell="L8" sqref="L8"/>
    </sheetView>
  </sheetViews>
  <sheetFormatPr baseColWidth="10" defaultColWidth="8.6640625" defaultRowHeight="16"/>
  <cols>
    <col min="1" max="1" width="10.33203125" style="18" bestFit="1" customWidth="1"/>
    <col min="2" max="2" width="5.83203125" style="18" bestFit="1" customWidth="1"/>
    <col min="3" max="3" width="16.83203125" style="18" customWidth="1"/>
    <col min="4" max="4" width="16.6640625" style="18" customWidth="1"/>
    <col min="5" max="5" width="13.5" style="18" customWidth="1"/>
    <col min="6" max="6" width="14.6640625" style="18" bestFit="1" customWidth="1"/>
    <col min="7" max="7" width="20" style="18" customWidth="1"/>
    <col min="8" max="8" width="20.83203125" style="18" customWidth="1"/>
    <col min="9" max="9" width="12.6640625" style="18" customWidth="1"/>
    <col min="10" max="10" width="12" style="18" bestFit="1" customWidth="1"/>
    <col min="11" max="16384" width="8.6640625" style="18"/>
  </cols>
  <sheetData>
    <row r="1" spans="1:10" ht="52" thickBot="1">
      <c r="A1" s="483" t="s">
        <v>1130</v>
      </c>
      <c r="B1" s="484" t="s">
        <v>1131</v>
      </c>
      <c r="C1" s="484" t="s">
        <v>1132</v>
      </c>
      <c r="D1" s="484" t="s">
        <v>1133</v>
      </c>
      <c r="E1" s="484" t="s">
        <v>1134</v>
      </c>
      <c r="F1" s="484" t="s">
        <v>1135</v>
      </c>
      <c r="G1" s="484" t="s">
        <v>1136</v>
      </c>
      <c r="H1" s="485" t="s">
        <v>1137</v>
      </c>
      <c r="I1" s="483" t="s">
        <v>1149</v>
      </c>
      <c r="J1" s="485" t="s">
        <v>1150</v>
      </c>
    </row>
    <row r="2" spans="1:10">
      <c r="A2" s="320" t="s">
        <v>1138</v>
      </c>
      <c r="B2" s="18" t="s">
        <v>1139</v>
      </c>
      <c r="C2" s="18">
        <f>Milestone_1!AH42</f>
        <v>0</v>
      </c>
      <c r="D2" s="18">
        <v>29</v>
      </c>
      <c r="E2" s="18">
        <f>Milestone_1!AI42</f>
        <v>0</v>
      </c>
      <c r="F2" s="18">
        <f>Milestone_1!AM9</f>
        <v>21</v>
      </c>
      <c r="G2" s="400">
        <f>Milestone_1!AJ9</f>
        <v>0</v>
      </c>
      <c r="H2" s="321">
        <f>Milestone_1!AN9</f>
        <v>4</v>
      </c>
      <c r="I2" s="320">
        <f>E2/F2*100</f>
        <v>0</v>
      </c>
      <c r="J2" s="321">
        <f>G2/H2</f>
        <v>0</v>
      </c>
    </row>
    <row r="3" spans="1:10">
      <c r="A3" s="320" t="s">
        <v>1138</v>
      </c>
      <c r="B3" s="18" t="s">
        <v>1140</v>
      </c>
      <c r="C3" s="18">
        <f>Milestone_1!AH93</f>
        <v>0</v>
      </c>
      <c r="D3" s="18">
        <v>8</v>
      </c>
      <c r="E3" s="18">
        <f>Milestone_1!AI93</f>
        <v>0</v>
      </c>
      <c r="F3" s="18">
        <f>Milestone_1!AM10</f>
        <v>42</v>
      </c>
      <c r="G3" s="400">
        <f>Milestone_1!AJ45</f>
        <v>0</v>
      </c>
      <c r="H3" s="321">
        <f>Milestone_1!AN10</f>
        <v>5</v>
      </c>
      <c r="I3" s="320">
        <f t="shared" ref="I3:I24" si="0">E3/F3*100</f>
        <v>0</v>
      </c>
      <c r="J3" s="321">
        <f t="shared" ref="J3:J24" si="1">G3/H3</f>
        <v>0</v>
      </c>
    </row>
    <row r="4" spans="1:10">
      <c r="A4" s="320" t="s">
        <v>1138</v>
      </c>
      <c r="B4" s="18" t="s">
        <v>1141</v>
      </c>
      <c r="C4" s="18">
        <f>Milestone_1!AH121</f>
        <v>0</v>
      </c>
      <c r="D4" s="18">
        <v>7</v>
      </c>
      <c r="E4" s="18">
        <f>Milestone_1!AI121</f>
        <v>0</v>
      </c>
      <c r="F4" s="18">
        <f>Milestone_1!AM11</f>
        <v>21</v>
      </c>
      <c r="G4" s="400">
        <f>Milestone_1!AJ96</f>
        <v>0</v>
      </c>
      <c r="H4" s="321">
        <f>Milestone_1!AN11</f>
        <v>3</v>
      </c>
      <c r="I4" s="320">
        <f t="shared" si="0"/>
        <v>0</v>
      </c>
      <c r="J4" s="321">
        <f t="shared" si="1"/>
        <v>0</v>
      </c>
    </row>
    <row r="5" spans="1:10">
      <c r="A5" s="455" t="s">
        <v>1138</v>
      </c>
      <c r="B5" s="360" t="s">
        <v>1142</v>
      </c>
      <c r="C5" s="360">
        <f>Milestone_1!AH141</f>
        <v>0</v>
      </c>
      <c r="D5" s="360">
        <v>11</v>
      </c>
      <c r="E5" s="360">
        <f>Milestone_1!AI141</f>
        <v>0</v>
      </c>
      <c r="F5" s="360">
        <f>Milestone_1!AM12</f>
        <v>15</v>
      </c>
      <c r="G5" s="403">
        <f>Milestone_1!AJ124</f>
        <v>0</v>
      </c>
      <c r="H5" s="371">
        <f>Milestone_1!AN12</f>
        <v>3</v>
      </c>
      <c r="I5" s="455">
        <f t="shared" si="0"/>
        <v>0</v>
      </c>
      <c r="J5" s="371">
        <f t="shared" si="1"/>
        <v>0</v>
      </c>
    </row>
    <row r="6" spans="1:10">
      <c r="A6" s="320" t="s">
        <v>1143</v>
      </c>
      <c r="B6" s="18" t="s">
        <v>1139</v>
      </c>
      <c r="C6" s="18">
        <f>Milestone_2!AE18</f>
        <v>0</v>
      </c>
      <c r="D6" s="18">
        <v>10</v>
      </c>
      <c r="E6" s="18">
        <f>Milestone_2!AF18</f>
        <v>0</v>
      </c>
      <c r="F6" s="18">
        <f>Milestone_2!AJ7</f>
        <v>10</v>
      </c>
      <c r="G6" s="400">
        <f>Milestone_2!AG7</f>
        <v>0</v>
      </c>
      <c r="H6" s="321">
        <f>Milestone_2!AK7</f>
        <v>2</v>
      </c>
      <c r="I6" s="320">
        <f t="shared" si="0"/>
        <v>0</v>
      </c>
      <c r="J6" s="321">
        <f t="shared" si="1"/>
        <v>0</v>
      </c>
    </row>
    <row r="7" spans="1:10">
      <c r="A7" s="320" t="s">
        <v>1143</v>
      </c>
      <c r="B7" s="18" t="s">
        <v>1140</v>
      </c>
      <c r="C7" s="18">
        <f>Milestone_2!AE25</f>
        <v>0</v>
      </c>
      <c r="D7" s="18">
        <v>1</v>
      </c>
      <c r="E7" s="18">
        <f>Milestone_2!AF25</f>
        <v>0</v>
      </c>
      <c r="F7" s="18">
        <f>Milestone_2!AJ8</f>
        <v>5</v>
      </c>
      <c r="G7" s="400">
        <f>Milestone_2!AG21</f>
        <v>0</v>
      </c>
      <c r="H7" s="321">
        <f>Milestone_2!AK8</f>
        <v>6</v>
      </c>
      <c r="I7" s="320">
        <f t="shared" si="0"/>
        <v>0</v>
      </c>
      <c r="J7" s="321">
        <f t="shared" si="1"/>
        <v>0</v>
      </c>
    </row>
    <row r="8" spans="1:10">
      <c r="A8" s="320" t="s">
        <v>1143</v>
      </c>
      <c r="B8" s="18" t="s">
        <v>1141</v>
      </c>
      <c r="C8" s="18">
        <f>Milestone_2!AE37</f>
        <v>0</v>
      </c>
      <c r="D8" s="18">
        <v>2</v>
      </c>
      <c r="E8" s="18">
        <f>Milestone_2!AF37</f>
        <v>0</v>
      </c>
      <c r="F8" s="18">
        <f>Milestone_2!AJ9</f>
        <v>5</v>
      </c>
      <c r="G8" s="400">
        <f>Milestone_2!AG28</f>
        <v>0</v>
      </c>
      <c r="H8" s="321">
        <f>Milestone_2!AK9</f>
        <v>4</v>
      </c>
      <c r="I8" s="320">
        <f t="shared" si="0"/>
        <v>0</v>
      </c>
      <c r="J8" s="321">
        <f t="shared" si="1"/>
        <v>0</v>
      </c>
    </row>
    <row r="9" spans="1:10">
      <c r="A9" s="320" t="s">
        <v>1143</v>
      </c>
      <c r="B9" s="18" t="s">
        <v>1142</v>
      </c>
      <c r="C9" s="18">
        <f>Milestone_2!AE49</f>
        <v>0</v>
      </c>
      <c r="D9" s="18">
        <v>5</v>
      </c>
      <c r="E9" s="18">
        <f>Milestone_2!AF49</f>
        <v>0</v>
      </c>
      <c r="F9" s="18">
        <f>Milestone_2!AJ10</f>
        <v>8</v>
      </c>
      <c r="G9" s="400">
        <f>Milestone_2!AG40</f>
        <v>0</v>
      </c>
      <c r="H9" s="321">
        <f>Milestone_2!AK10</f>
        <v>3</v>
      </c>
      <c r="I9" s="320">
        <f t="shared" si="0"/>
        <v>0</v>
      </c>
      <c r="J9" s="321">
        <f t="shared" si="1"/>
        <v>0</v>
      </c>
    </row>
    <row r="10" spans="1:10">
      <c r="A10" s="456" t="s">
        <v>1144</v>
      </c>
      <c r="B10" s="259" t="s">
        <v>1139</v>
      </c>
      <c r="C10" s="259">
        <f>Milestone_3!AF70</f>
        <v>0</v>
      </c>
      <c r="D10" s="259">
        <v>11</v>
      </c>
      <c r="E10" s="259">
        <f>Milestone_3!AG70</f>
        <v>0</v>
      </c>
      <c r="F10" s="259">
        <f>Milestone_3!AK7</f>
        <v>67</v>
      </c>
      <c r="G10" s="486">
        <f>Milestone_3!AH7</f>
        <v>0</v>
      </c>
      <c r="H10" s="370">
        <f>Milestone_3!AL7</f>
        <v>15</v>
      </c>
      <c r="I10" s="456">
        <f t="shared" si="0"/>
        <v>0</v>
      </c>
      <c r="J10" s="370">
        <f t="shared" si="1"/>
        <v>0</v>
      </c>
    </row>
    <row r="11" spans="1:10">
      <c r="A11" s="455" t="s">
        <v>1144</v>
      </c>
      <c r="B11" s="360" t="s">
        <v>1140</v>
      </c>
      <c r="C11" s="360">
        <f>Milestone_3!AF111</f>
        <v>0</v>
      </c>
      <c r="D11" s="360">
        <v>16</v>
      </c>
      <c r="E11" s="360">
        <f>Milestone_3!AG111</f>
        <v>0</v>
      </c>
      <c r="F11" s="360">
        <f>Milestone_3!AK8</f>
        <v>29</v>
      </c>
      <c r="G11" s="403">
        <f>Milestone_3!AH73</f>
        <v>0</v>
      </c>
      <c r="H11" s="371">
        <f>Milestone_3!AL8</f>
        <v>10</v>
      </c>
      <c r="I11" s="455">
        <f t="shared" si="0"/>
        <v>0</v>
      </c>
      <c r="J11" s="371">
        <f t="shared" si="1"/>
        <v>0</v>
      </c>
    </row>
    <row r="12" spans="1:10">
      <c r="A12" s="320" t="s">
        <v>1145</v>
      </c>
      <c r="B12" s="18" t="s">
        <v>1139</v>
      </c>
      <c r="C12" s="18">
        <f>Milestone_4!AM25</f>
        <v>0</v>
      </c>
      <c r="D12" s="18">
        <v>15</v>
      </c>
      <c r="E12" s="18">
        <f>Milestone_4!AN25</f>
        <v>0</v>
      </c>
      <c r="F12" s="18">
        <f>Milestone_4!AU7</f>
        <v>32</v>
      </c>
      <c r="G12" s="400">
        <f>Milestone_4!AO19</f>
        <v>0</v>
      </c>
      <c r="H12" s="321">
        <f>Milestone_4!AV7</f>
        <v>8</v>
      </c>
      <c r="I12" s="320">
        <f t="shared" si="0"/>
        <v>0</v>
      </c>
      <c r="J12" s="321">
        <f t="shared" si="1"/>
        <v>0</v>
      </c>
    </row>
    <row r="13" spans="1:10">
      <c r="A13" s="320" t="s">
        <v>1145</v>
      </c>
      <c r="B13" s="18" t="s">
        <v>1140</v>
      </c>
      <c r="C13" s="18">
        <f>Milestone_4!AM35</f>
        <v>0</v>
      </c>
      <c r="D13" s="18">
        <v>5</v>
      </c>
      <c r="E13" s="18">
        <f>Milestone_4!AN35</f>
        <v>0</v>
      </c>
      <c r="F13" s="18">
        <f>Milestone_4!AU8</f>
        <v>10</v>
      </c>
      <c r="G13" s="400">
        <f>Milestone_4!AO28</f>
        <v>0</v>
      </c>
      <c r="H13" s="321">
        <f>Milestone_4!AV8</f>
        <v>3</v>
      </c>
      <c r="I13" s="320">
        <f t="shared" si="0"/>
        <v>0</v>
      </c>
      <c r="J13" s="321">
        <f t="shared" si="1"/>
        <v>0</v>
      </c>
    </row>
    <row r="14" spans="1:10">
      <c r="A14" s="320" t="s">
        <v>1145</v>
      </c>
      <c r="B14" s="18" t="s">
        <v>1141</v>
      </c>
      <c r="C14" s="18">
        <f>Milestone_4!AM46</f>
        <v>0</v>
      </c>
      <c r="D14" s="18">
        <v>6</v>
      </c>
      <c r="E14" s="18">
        <f>Milestone_4!AN46</f>
        <v>0</v>
      </c>
      <c r="F14" s="18">
        <f>Milestone_4!AU9</f>
        <v>12</v>
      </c>
      <c r="G14" s="400">
        <f>Milestone_4!AO38</f>
        <v>0</v>
      </c>
      <c r="H14" s="321">
        <f>Milestone_4!AV9</f>
        <v>1</v>
      </c>
      <c r="I14" s="320">
        <f t="shared" si="0"/>
        <v>0</v>
      </c>
      <c r="J14" s="321">
        <f t="shared" si="1"/>
        <v>0</v>
      </c>
    </row>
    <row r="15" spans="1:10">
      <c r="A15" s="320" t="s">
        <v>1145</v>
      </c>
      <c r="B15" s="18" t="s">
        <v>1142</v>
      </c>
      <c r="C15" s="18">
        <f>Milestone_4!AM72</f>
        <v>0</v>
      </c>
      <c r="D15" s="18">
        <v>15</v>
      </c>
      <c r="E15" s="18">
        <f>Milestone_4!AN72</f>
        <v>0</v>
      </c>
      <c r="F15" s="18">
        <f>Milestone_4!AU10</f>
        <v>13</v>
      </c>
      <c r="G15" s="400">
        <f>Milestone_4!AO49</f>
        <v>0</v>
      </c>
      <c r="H15" s="321">
        <f>Milestone_4!AV10</f>
        <v>10</v>
      </c>
      <c r="I15" s="320">
        <f t="shared" si="0"/>
        <v>0</v>
      </c>
      <c r="J15" s="321">
        <f t="shared" si="1"/>
        <v>0</v>
      </c>
    </row>
    <row r="16" spans="1:10">
      <c r="A16" s="320" t="s">
        <v>1145</v>
      </c>
      <c r="B16" s="18" t="s">
        <v>1146</v>
      </c>
      <c r="C16" s="18">
        <f>Milestone_4!AM83</f>
        <v>0</v>
      </c>
      <c r="D16" s="18">
        <v>5</v>
      </c>
      <c r="E16" s="18">
        <f>Milestone_4!AN83</f>
        <v>0</v>
      </c>
      <c r="F16" s="18">
        <f>Milestone_4!AU12</f>
        <v>8</v>
      </c>
      <c r="G16" s="400">
        <f>Milestone_4!AO75</f>
        <v>0</v>
      </c>
      <c r="H16" s="321">
        <f>Milestone_4!AV12</f>
        <v>3</v>
      </c>
      <c r="I16" s="320">
        <f t="shared" si="0"/>
        <v>0</v>
      </c>
      <c r="J16" s="321">
        <f t="shared" si="1"/>
        <v>0</v>
      </c>
    </row>
    <row r="17" spans="1:10">
      <c r="A17" s="456" t="s">
        <v>1147</v>
      </c>
      <c r="B17" s="259" t="s">
        <v>1139</v>
      </c>
      <c r="C17" s="259">
        <f>Milestone_5!AG23</f>
        <v>0</v>
      </c>
      <c r="D17" s="259">
        <v>9</v>
      </c>
      <c r="E17" s="259">
        <f>Milestone_5!AH23</f>
        <v>0</v>
      </c>
      <c r="F17" s="259">
        <f>Milestone_5!AL7</f>
        <v>7</v>
      </c>
      <c r="G17" s="486">
        <f>Milestone_5!AI7</f>
        <v>0</v>
      </c>
      <c r="H17" s="370">
        <f>Milestone_5!AM7</f>
        <v>5</v>
      </c>
      <c r="I17" s="456">
        <f t="shared" si="0"/>
        <v>0</v>
      </c>
      <c r="J17" s="370">
        <f t="shared" si="1"/>
        <v>0</v>
      </c>
    </row>
    <row r="18" spans="1:10">
      <c r="A18" s="320" t="s">
        <v>1147</v>
      </c>
      <c r="B18" s="18" t="s">
        <v>1140</v>
      </c>
      <c r="C18" s="18">
        <f>Milestone_5!AG83</f>
        <v>0</v>
      </c>
      <c r="D18" s="18">
        <v>36</v>
      </c>
      <c r="E18" s="18">
        <f>Milestone_5!AH83</f>
        <v>0</v>
      </c>
      <c r="F18" s="18">
        <f>Milestone_5!AL8</f>
        <v>58</v>
      </c>
      <c r="G18" s="400">
        <f>Milestone_5!AI26</f>
        <v>0</v>
      </c>
      <c r="H18" s="321">
        <f>Milestone_5!AM8</f>
        <v>4</v>
      </c>
      <c r="I18" s="320">
        <f t="shared" si="0"/>
        <v>0</v>
      </c>
      <c r="J18" s="321">
        <f t="shared" si="1"/>
        <v>0</v>
      </c>
    </row>
    <row r="19" spans="1:10">
      <c r="A19" s="320" t="s">
        <v>1147</v>
      </c>
      <c r="B19" s="18" t="s">
        <v>1141</v>
      </c>
      <c r="C19" s="18">
        <f>Milestone_5!AG112</f>
        <v>0</v>
      </c>
      <c r="D19" s="18">
        <v>21</v>
      </c>
      <c r="E19" s="18">
        <f>Milestone_5!AH112</f>
        <v>0</v>
      </c>
      <c r="F19" s="18">
        <f>Milestone_5!AL9</f>
        <v>25</v>
      </c>
      <c r="G19" s="400">
        <f>Milestone_5!AI86</f>
        <v>0</v>
      </c>
      <c r="H19" s="321">
        <f>Milestone_5!AM9</f>
        <v>4</v>
      </c>
      <c r="I19" s="320">
        <f t="shared" si="0"/>
        <v>0</v>
      </c>
      <c r="J19" s="321">
        <f t="shared" si="1"/>
        <v>0</v>
      </c>
    </row>
    <row r="20" spans="1:10">
      <c r="A20" s="455" t="s">
        <v>1147</v>
      </c>
      <c r="B20" s="360" t="s">
        <v>1142</v>
      </c>
      <c r="C20" s="360">
        <f>Milestone_5!AG124</f>
        <v>0</v>
      </c>
      <c r="D20" s="360">
        <v>2</v>
      </c>
      <c r="E20" s="360">
        <f>Milestone_5!AI115</f>
        <v>0</v>
      </c>
      <c r="F20" s="360">
        <f>Milestone_5!AL10</f>
        <v>10</v>
      </c>
      <c r="G20" s="403">
        <f>Milestone_5!AI115</f>
        <v>0</v>
      </c>
      <c r="H20" s="371">
        <f>Milestone_5!AM10</f>
        <v>2</v>
      </c>
      <c r="I20" s="455">
        <f t="shared" si="0"/>
        <v>0</v>
      </c>
      <c r="J20" s="371">
        <f t="shared" si="1"/>
        <v>0</v>
      </c>
    </row>
    <row r="21" spans="1:10">
      <c r="A21" s="320" t="s">
        <v>1148</v>
      </c>
      <c r="B21" s="18" t="s">
        <v>1139</v>
      </c>
      <c r="C21" s="18">
        <f>Ongoing_Implementation!AF23</f>
        <v>0</v>
      </c>
      <c r="D21" s="18">
        <v>3</v>
      </c>
      <c r="E21" s="18">
        <f>Ongoing_Implementation!AG23</f>
        <v>0</v>
      </c>
      <c r="F21" s="18">
        <f>Ongoing_Implementation!AK7</f>
        <v>19</v>
      </c>
      <c r="G21" s="400">
        <f>Ongoing_Implementation!AH7</f>
        <v>0</v>
      </c>
      <c r="H21" s="321">
        <f>Ongoing_Implementation!AL7</f>
        <v>2</v>
      </c>
      <c r="I21" s="320">
        <f t="shared" si="0"/>
        <v>0</v>
      </c>
      <c r="J21" s="321">
        <f t="shared" si="1"/>
        <v>0</v>
      </c>
    </row>
    <row r="22" spans="1:10">
      <c r="A22" s="320" t="s">
        <v>1148</v>
      </c>
      <c r="B22" s="18" t="s">
        <v>1140</v>
      </c>
      <c r="C22" s="18">
        <f>Ongoing_Implementation!AF31</f>
        <v>0</v>
      </c>
      <c r="D22" s="18">
        <v>1</v>
      </c>
      <c r="E22" s="18">
        <f>Ongoing_Implementation!AG31</f>
        <v>0</v>
      </c>
      <c r="F22" s="18">
        <f>Ongoing_Implementation!AK8</f>
        <v>7</v>
      </c>
      <c r="G22" s="400">
        <f>Ongoing_Implementation!AH27</f>
        <v>0</v>
      </c>
      <c r="H22" s="321">
        <f>Ongoing_Implementation!AL8</f>
        <v>1</v>
      </c>
      <c r="I22" s="320">
        <f t="shared" si="0"/>
        <v>0</v>
      </c>
      <c r="J22" s="321">
        <f t="shared" si="1"/>
        <v>0</v>
      </c>
    </row>
    <row r="23" spans="1:10">
      <c r="A23" s="320" t="s">
        <v>1148</v>
      </c>
      <c r="B23" s="18" t="s">
        <v>1141</v>
      </c>
      <c r="C23" s="18">
        <f>Ongoing_Implementation!AF39</f>
        <v>0</v>
      </c>
      <c r="D23" s="18">
        <v>1</v>
      </c>
      <c r="E23" s="18">
        <f>Ongoing_Implementation!AG39</f>
        <v>0</v>
      </c>
      <c r="F23" s="18">
        <f>Ongoing_Implementation!AK9</f>
        <v>7</v>
      </c>
      <c r="G23" s="400">
        <f>Ongoing_Implementation!AH34</f>
        <v>0</v>
      </c>
      <c r="H23" s="321">
        <f>Ongoing_Implementation!AL9</f>
        <v>1</v>
      </c>
      <c r="I23" s="320">
        <f t="shared" si="0"/>
        <v>0</v>
      </c>
      <c r="J23" s="321">
        <f t="shared" si="1"/>
        <v>0</v>
      </c>
    </row>
    <row r="24" spans="1:10" ht="17" thickBot="1">
      <c r="A24" s="487" t="s">
        <v>1148</v>
      </c>
      <c r="B24" s="63" t="s">
        <v>1142</v>
      </c>
      <c r="C24" s="63">
        <f>Ongoing_Implementation!AF47</f>
        <v>0</v>
      </c>
      <c r="D24" s="63">
        <v>1</v>
      </c>
      <c r="E24" s="63">
        <f>Ongoing_Implementation!AG47</f>
        <v>0</v>
      </c>
      <c r="F24" s="63">
        <f>Ongoing_Implementation!AK10</f>
        <v>3</v>
      </c>
      <c r="G24" s="489">
        <f>Ongoing_Implementation!AH42</f>
        <v>0</v>
      </c>
      <c r="H24" s="488">
        <f>Ongoing_Implementation!AL10</f>
        <v>1</v>
      </c>
      <c r="I24" s="487">
        <f t="shared" si="0"/>
        <v>0</v>
      </c>
      <c r="J24" s="488">
        <f t="shared" si="1"/>
        <v>0</v>
      </c>
    </row>
  </sheetData>
  <phoneticPr fontId="6" type="noConversion"/>
  <pageMargins left="0.7" right="0.7" top="0.75" bottom="0.75" header="0.3" footer="0.3"/>
  <ignoredErrors>
    <ignoredError sqref="F20"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38D0-3888-4EA0-A0D8-A1E1E8812EF9}">
  <sheetPr codeName="Sheet17"/>
  <dimension ref="A1:L39"/>
  <sheetViews>
    <sheetView topLeftCell="H1" workbookViewId="0">
      <selection activeCell="I4" sqref="I4"/>
    </sheetView>
  </sheetViews>
  <sheetFormatPr baseColWidth="10" defaultColWidth="8.6640625" defaultRowHeight="16"/>
  <cols>
    <col min="1" max="1" width="7.6640625" style="18" bestFit="1" customWidth="1"/>
    <col min="2" max="2" width="46.5" style="62" customWidth="1"/>
    <col min="3" max="3" width="30.33203125" style="18" bestFit="1" customWidth="1"/>
    <col min="4" max="4" width="17.83203125" style="18" bestFit="1" customWidth="1"/>
    <col min="5" max="5" width="14.1640625" style="18" bestFit="1" customWidth="1"/>
    <col min="6" max="6" width="32.6640625" style="18" bestFit="1" customWidth="1"/>
    <col min="7" max="7" width="25.33203125" style="18" customWidth="1"/>
    <col min="8" max="8" width="212" style="18" bestFit="1" customWidth="1"/>
    <col min="9" max="9" width="23.6640625" style="18" customWidth="1"/>
    <col min="10" max="10" width="147.83203125" style="62" customWidth="1"/>
    <col min="11" max="11" width="27.6640625" style="18" customWidth="1"/>
    <col min="12" max="12" width="28" style="18" customWidth="1"/>
    <col min="13" max="13" width="46.83203125" style="18" customWidth="1"/>
    <col min="14" max="16384" width="8.6640625" style="18"/>
  </cols>
  <sheetData>
    <row r="1" spans="1:12">
      <c r="G1" s="1058" t="s">
        <v>659</v>
      </c>
      <c r="H1" s="1060"/>
      <c r="I1" s="1058" t="s">
        <v>660</v>
      </c>
      <c r="J1" s="1059"/>
      <c r="K1" s="1058" t="s">
        <v>1005</v>
      </c>
      <c r="L1" s="1060"/>
    </row>
    <row r="2" spans="1:12" s="29" customFormat="1" ht="17" thickBot="1">
      <c r="A2" s="1064" t="str">
        <f>Milestone_1!I2</f>
        <v xml:space="preserve">Milestone 1: Establish Greenhouse Gas Inventory and Scope of Work </v>
      </c>
      <c r="B2" s="1065"/>
      <c r="C2" s="394" t="s">
        <v>632</v>
      </c>
      <c r="D2" s="394" t="s">
        <v>733</v>
      </c>
      <c r="E2" s="394" t="s">
        <v>633</v>
      </c>
      <c r="F2" s="394" t="s">
        <v>635</v>
      </c>
      <c r="G2" s="427" t="s">
        <v>645</v>
      </c>
      <c r="H2" s="364" t="s">
        <v>643</v>
      </c>
      <c r="I2" s="457" t="s">
        <v>850</v>
      </c>
      <c r="J2" s="432" t="s">
        <v>644</v>
      </c>
      <c r="K2" s="427" t="s">
        <v>850</v>
      </c>
      <c r="L2" s="364" t="s">
        <v>644</v>
      </c>
    </row>
    <row r="3" spans="1:12">
      <c r="A3" s="395" t="str">
        <f>Milestone_1!J7</f>
        <v>Task 1</v>
      </c>
      <c r="B3" s="396" t="str">
        <f>"Milestone1-Task1:" &amp; " " &amp; Milestone_1!K7</f>
        <v>Milestone1-Task1: Identify and engage stakeholders </v>
      </c>
      <c r="C3" s="289">
        <f>Milestone_1!AJ9</f>
        <v>0</v>
      </c>
      <c r="D3" s="289">
        <f>Milestone_1!AN9</f>
        <v>4</v>
      </c>
      <c r="E3" s="289">
        <f>D3/2</f>
        <v>2</v>
      </c>
      <c r="F3" s="64">
        <f>IF(C3&lt;=E3,0,1)</f>
        <v>0</v>
      </c>
      <c r="G3" s="454" t="str">
        <f>IF(F3=1,B3, " ")</f>
        <v xml:space="preserve"> </v>
      </c>
      <c r="H3" s="257" t="str">
        <f>IF(F3=0,B3, " ")</f>
        <v>Milestone1-Task1: Identify and engage stakeholders </v>
      </c>
      <c r="I3" s="329" t="str">
        <f>IF(F3=1,Feedback_List!F2," ")</f>
        <v xml:space="preserve"> </v>
      </c>
      <c r="J3" s="62" t="str">
        <f>IF(F3=0,Feedback_List!E2," ")</f>
        <v>• Effective emission reduction strategies require early engagement with internal stakeholders like executives, finance teams, and engineers to ensure feasibility and organizational alignment. Simultaneously, involving external stakeholders brings specialized expertise and industry best practices that complement internal capabilities. This collaborative approach between internal and external stakeholders creates more robust and practical emission reduction initiatives.</v>
      </c>
      <c r="K3" s="428" t="str">
        <f>IF(F3=1,Feedback_List!F92,"")</f>
        <v/>
      </c>
      <c r="L3" s="429" t="str">
        <f>IF(F3=0,Feedback_List!E92,"")</f>
        <v>•Companies benefit from broader stakeholder engagement, including both internal teams (executives, finance, engineers) and external experts to ensure organizational alignment and bring specialized knowledge to your initiatives.</v>
      </c>
    </row>
    <row r="4" spans="1:12">
      <c r="A4" s="395" t="str">
        <f>Milestone_1!J43</f>
        <v>Task 2</v>
      </c>
      <c r="B4" s="396" t="str">
        <f>"Milestone1-Task2:" &amp; " " &amp; Milestone_1!K43</f>
        <v>Milestone1-Task2:  Establish a GHG inventory management plan</v>
      </c>
      <c r="C4" s="289">
        <f>Milestone_1!AJ45</f>
        <v>0</v>
      </c>
      <c r="D4" s="289">
        <f>Milestone_1!AN10</f>
        <v>5</v>
      </c>
      <c r="E4" s="289">
        <f t="shared" ref="E4:E35" si="0">D4/2</f>
        <v>2.5</v>
      </c>
      <c r="F4" s="64">
        <f t="shared" ref="F4:F35" si="1">IF(C4&lt;=E4,0,1)</f>
        <v>0</v>
      </c>
      <c r="G4" s="320" t="str">
        <f>IF(F4=1,B4, " ")</f>
        <v xml:space="preserve"> </v>
      </c>
      <c r="H4" s="257" t="str">
        <f t="shared" ref="H4:H32" si="2">IF(F4=0,B4, " ")</f>
        <v>Milestone1-Task2:  Establish a GHG inventory management plan</v>
      </c>
      <c r="I4" s="329" t="str">
        <f>IF(F4=1,Feedback_List!F5, " ")</f>
        <v xml:space="preserve"> </v>
      </c>
      <c r="J4" s="62" t="str">
        <f>IF(F4=0,Feedback_List!E5, " ")</f>
        <v>• Organizations should establish a systematic consolidation framework aligned with GHG Protocol standards by mapping all entities and operations within scope, while properly accounting for joint ventures and shared ownership arrangements. A centralized emissions tracking system with regular reporting schedules and defined base year recalculation criteria helps maintain an accurate and current GHG inventory. Transparent reporting processes with robust review mechanisms and change tracking improve data quality, support accurate trend analysis, and minimize reporting errors and regulatory penalties.</v>
      </c>
      <c r="K4" s="329" t="str">
        <f>IF(F4=1,Feedback_List!F93,"")</f>
        <v/>
      </c>
      <c r="L4" s="257" t="str">
        <f>IF(F4=0,Feedback_List!E93,"")</f>
        <v>•Consider developing a more robust GHG inventory by establishing a Protocol-aligned accounting framework that thoroughly maps all entities and operations while implementing a centralized tracking system with regular reporting schedules.</v>
      </c>
    </row>
    <row r="5" spans="1:12">
      <c r="A5" s="353" t="str">
        <f>Milestone_1!J94</f>
        <v>Task 3</v>
      </c>
      <c r="B5" s="62" t="str">
        <f>"Milestone1-Task3:" &amp; " " &amp; Milestone_1!K94</f>
        <v>Milestone1-Task3: Set GHG reduction target</v>
      </c>
      <c r="C5" s="289">
        <f>Milestone_1!AJ96</f>
        <v>0</v>
      </c>
      <c r="D5" s="289">
        <f>Milestone_1!AN11</f>
        <v>3</v>
      </c>
      <c r="E5" s="289">
        <f t="shared" si="0"/>
        <v>1.5</v>
      </c>
      <c r="F5" s="64">
        <f t="shared" si="1"/>
        <v>0</v>
      </c>
      <c r="G5" s="320" t="str">
        <f>IF(F5=1,B5, " ")</f>
        <v xml:space="preserve"> </v>
      </c>
      <c r="H5" s="321"/>
      <c r="I5" s="329" t="str">
        <f>IF(F5=1,Feedback_List!F9, " ")</f>
        <v xml:space="preserve"> </v>
      </c>
      <c r="J5" s="62" t="str">
        <f>IF(F5=0,Feedback_List!E9, " ")</f>
        <v>• Ambitious targets drive innovation and efficiency, often reducing costs through lower energy use and optimized processes. These goals strengthen market position as consumers and investors favor environmentally responsible businesses. Demonstrating climate leadership creates competitive advantages when securing contracts with customers who have their own emission reduction requirements.</v>
      </c>
      <c r="K5" s="329" t="str">
        <f>IF(F5=1,Feedback_List!F94,"")</f>
        <v/>
      </c>
      <c r="L5" s="257" t="str">
        <f>IF(F5=0,Feedback_List!E94,"")</f>
        <v>•Set more ambitious emission reduction targets that could drive innovation while potentially reducing costs through optimized processes.</v>
      </c>
    </row>
    <row r="6" spans="1:12">
      <c r="A6" s="278" t="str">
        <f>Milestone_1!J122</f>
        <v>Task 4</v>
      </c>
      <c r="B6" s="368" t="str">
        <f>"Milestone1-Task4:" &amp; " " &amp; Milestone_1!K122</f>
        <v>Milestone1-Task4: Define evaluation criteria</v>
      </c>
      <c r="C6" s="397">
        <f>Milestone_1!AJ124</f>
        <v>0</v>
      </c>
      <c r="D6" s="397">
        <f>Milestone_1!AN12</f>
        <v>3</v>
      </c>
      <c r="E6" s="397">
        <f t="shared" si="0"/>
        <v>1.5</v>
      </c>
      <c r="F6" s="442">
        <f t="shared" si="1"/>
        <v>0</v>
      </c>
      <c r="G6" s="455" t="str">
        <f>IF(F6=1,B6, " ")</f>
        <v xml:space="preserve"> </v>
      </c>
      <c r="H6" s="371"/>
      <c r="I6" s="329"/>
      <c r="J6" s="62" t="str">
        <f>IF(F6=0,Feedback_List!E14," ")</f>
        <v>• A systematic approach to emission reduction focuses company resources on the most impactful opportunities by using a standardized assessment matrix that evaluates each project's reduction potential, costs, ROI, and strategic alignment. Organizations should prioritize projects based on assessment scores and group them into near-term and long-term categories while identifying dependencies between initiatives. Considering co-benefits beyond carbon reduction, such as cost savings, water conservation, and improved product quality, makes emission reduction projects more financially attractive and creates broader business value.</v>
      </c>
      <c r="K6" s="329" t="str">
        <f>IF(F6=1,Feedback_List!F95,"")</f>
        <v/>
      </c>
      <c r="L6" s="257" t="str">
        <f>IF(F6=0,Feedback_List!E95,"")</f>
        <v>•A standardized assessment matrix would help prioritize projects based on reduction potential, costs, ROI, and strategic alignment, while considering valuable co-benefits beyond carbon reduction.</v>
      </c>
    </row>
    <row r="7" spans="1:12">
      <c r="A7" s="1001" t="s">
        <v>596</v>
      </c>
      <c r="B7" s="1001"/>
      <c r="C7" s="398">
        <f>SUM(C3:C6)</f>
        <v>0</v>
      </c>
      <c r="D7" s="398">
        <f t="shared" ref="D7:E7" si="3">SUM(D3:D6)</f>
        <v>15</v>
      </c>
      <c r="E7" s="398">
        <f t="shared" si="3"/>
        <v>7.5</v>
      </c>
      <c r="F7" s="399"/>
      <c r="G7" s="388" t="str">
        <f t="shared" ref="G7:L7" si="4">_xlfn.TEXTJOIN(CHAR(10),TRUE,G3,G4,G5,G6)</f>
        <v xml:space="preserve"> 
 </v>
      </c>
      <c r="H7" s="388" t="str">
        <f t="shared" si="4"/>
        <v>Milestone1-Task1: Identify and engage stakeholders 
Milestone1-Task2:  Establish a GHG inventory management plan</v>
      </c>
      <c r="I7" s="388" t="str">
        <f t="shared" si="4"/>
        <v xml:space="preserve"> 
 </v>
      </c>
      <c r="J7" s="441" t="str">
        <f t="shared" si="4"/>
        <v>• Effective emission reduction strategies require early engagement with internal stakeholders like executives, finance teams, and engineers to ensure feasibility and organizational alignment. Simultaneously, involving external stakeholders brings specialized expertise and industry best practices that complement internal capabilities. This collaborative approach between internal and external stakeholders creates more robust and practical emission reduction initiatives.
• Organizations should establish a systematic consolidation framework aligned with GHG Protocol standards by mapping all entities and operations within scope, while properly accounting for joint ventures and shared ownership arrangements. A centralized emissions tracking system with regular reporting schedules and defined base year recalculation criteria helps maintain an accurate and current GHG inventory. Transparent reporting processes with robust review mechanisms and change tracking improve data quality, support accurate trend analysis, and minimize reporting errors and regulatory penalties.
• Ambitious targets drive innovation and efficiency, often reducing costs through lower energy use and optimized processes. These goals strengthen market position as consumers and investors favor environmentally responsible businesses. Demonstrating climate leadership creates competitive advantages when securing contracts with customers who have their own emission reduction requirements.
• A systematic approach to emission reduction focuses company resources on the most impactful opportunities by using a standardized assessment matrix that evaluates each project's reduction potential, costs, ROI, and strategic alignment. Organizations should prioritize projects based on assessment scores and group them into near-term and long-term categories while identifying dependencies between initiatives. Considering co-benefits beyond carbon reduction, such as cost savings, water conservation, and improved product quality, makes emission reduction projects more financially attractive and creates broader business value.</v>
      </c>
      <c r="K7" s="388" t="str">
        <f t="shared" si="4"/>
        <v/>
      </c>
      <c r="L7" s="389" t="str">
        <f t="shared" si="4"/>
        <v>•Companies benefit from broader stakeholder engagement, including both internal teams (executives, finance, engineers) and external experts to ensure organizational alignment and bring specialized knowledge to your initiatives.
•Consider developing a more robust GHG inventory by establishing a Protocol-aligned accounting framework that thoroughly maps all entities and operations while implementing a centralized tracking system with regular reporting schedules.
•Set more ambitious emission reduction targets that could drive innovation while potentially reducing costs through optimized processes.
•A standardized assessment matrix would help prioritize projects based on reduction potential, costs, ROI, and strategic alignment, while considering valuable co-benefits beyond carbon reduction.</v>
      </c>
    </row>
    <row r="8" spans="1:12" s="29" customFormat="1">
      <c r="A8" s="1064" t="str">
        <f>Milestone_2!I2</f>
        <v>Milestone 2: Categorize Portfolio</v>
      </c>
      <c r="B8" s="1065"/>
      <c r="C8" s="394" t="s">
        <v>632</v>
      </c>
      <c r="D8" s="394" t="s">
        <v>634</v>
      </c>
      <c r="E8" s="394" t="s">
        <v>633</v>
      </c>
      <c r="F8" s="394" t="s">
        <v>640</v>
      </c>
      <c r="G8" s="447"/>
      <c r="H8" s="319"/>
      <c r="I8" s="447"/>
      <c r="J8" s="18"/>
      <c r="K8" s="390"/>
      <c r="L8" s="452"/>
    </row>
    <row r="9" spans="1:12">
      <c r="A9" s="353" t="str">
        <f>Milestone_2!J5</f>
        <v>Task 1</v>
      </c>
      <c r="B9" s="62" t="str">
        <f>"Milestone2-Task1:" &amp; " " &amp; Milestone_2!K5</f>
        <v>Milestone2-Task1: Select characteristics of the portfolio</v>
      </c>
      <c r="C9" s="289">
        <f>Milestone_2!AG7</f>
        <v>0</v>
      </c>
      <c r="D9" s="289">
        <f>Milestone_2!AK7</f>
        <v>2</v>
      </c>
      <c r="E9" s="289">
        <f t="shared" si="0"/>
        <v>1</v>
      </c>
      <c r="F9" s="64">
        <f t="shared" si="1"/>
        <v>0</v>
      </c>
      <c r="G9" s="456" t="str">
        <f>IF(F9=1,B9, " ")</f>
        <v xml:space="preserve"> </v>
      </c>
      <c r="H9" s="370"/>
      <c r="I9" s="448" t="str">
        <f>IF(F9=1,Feedback_List!F17, " ")</f>
        <v xml:space="preserve"> </v>
      </c>
      <c r="J9" s="372" t="str">
        <f>IF(F9=0,Feedback_List!E17, " ")</f>
        <v>• Companies should consider key operational characteristics as they determine the feasibility and impact of emission reduction initiatives. Facility type, ownership, and location influence available options, while grid carbon intensity affects electrification benefits. Understanding equipment lifecycles and process emissions helps target major opportunities, while knowledge of incentives optimizes project economics.</v>
      </c>
      <c r="K9" s="448" t="str">
        <f>IF(F9=1,Feedback_List!F97,"")</f>
        <v/>
      </c>
      <c r="L9" s="376" t="str">
        <f>IF(F9=0,Feedback_List!E97,"")</f>
        <v>•Identifying key characteristics within your portfolio to establish clear prioritization criteria. This would help focus your resources on the most impactful initiatives first.</v>
      </c>
    </row>
    <row r="10" spans="1:12">
      <c r="A10" s="395" t="str">
        <f>Milestone_2!J19</f>
        <v>Task 2</v>
      </c>
      <c r="B10" s="396" t="str">
        <f>"Milestone2-Task2:" &amp; " " &amp; Milestone_2!K19</f>
        <v xml:space="preserve">Milestone2-Task2: Identify and quantify GHG emissions for Significant Greenhouse Gas Emitters (SGEs) </v>
      </c>
      <c r="C10" s="289">
        <f>Milestone_2!AG21</f>
        <v>0</v>
      </c>
      <c r="D10" s="289">
        <f>Milestone_2!AK8</f>
        <v>6</v>
      </c>
      <c r="E10" s="289">
        <f t="shared" si="0"/>
        <v>3</v>
      </c>
      <c r="F10" s="64">
        <f>IF(C10&lt;=E10,0,1)</f>
        <v>0</v>
      </c>
      <c r="G10" s="320" t="str">
        <f>IF(F10=1,B10, " ")</f>
        <v xml:space="preserve"> </v>
      </c>
      <c r="H10" s="321" t="str">
        <f t="shared" si="2"/>
        <v xml:space="preserve">Milestone2-Task2: Identify and quantify GHG emissions for Significant Greenhouse Gas Emitters (SGEs) </v>
      </c>
      <c r="I10" s="329" t="str">
        <f>IF(F10=1,Feedback_List!F19, " ")</f>
        <v xml:space="preserve"> </v>
      </c>
      <c r="J10" s="62" t="str">
        <f>IF(F10=0,Feedback_List!E19, " ")</f>
        <v>• Companies should identify and quantify significant emission sources (SGEs) as understanding these helps prioritize cost-effective reduction opportunities and investments in cleaner technologies.</v>
      </c>
      <c r="K10" s="329" t="str">
        <f>IF(F10=1,Feedback_List!F98,"")</f>
        <v/>
      </c>
      <c r="L10" s="257" t="str">
        <f>IF(F10=0,Feedback_List!E98,"")</f>
        <v>•Consider conducting a thorough assessment to identify significant systems and processes with high emissions, as targeting these areas would yield substantial reductions.</v>
      </c>
    </row>
    <row r="11" spans="1:12">
      <c r="A11" s="395" t="str">
        <f>Milestone_2!J26</f>
        <v>Task 3</v>
      </c>
      <c r="B11" s="396" t="str">
        <f>"Milestone2-Task3:" &amp; " " &amp; Milestone_2!K26</f>
        <v xml:space="preserve">Milestone2-Task3: Benchmark Significant Greenhouse Gas Emitters (SGEs) </v>
      </c>
      <c r="C11" s="289">
        <f>Milestone_2!AG28</f>
        <v>0</v>
      </c>
      <c r="D11" s="289">
        <f>Milestone_2!AK9</f>
        <v>4</v>
      </c>
      <c r="E11" s="289">
        <f t="shared" si="0"/>
        <v>2</v>
      </c>
      <c r="F11" s="64">
        <f t="shared" si="1"/>
        <v>0</v>
      </c>
      <c r="G11" s="320" t="str">
        <f>IF(F11=1,B11, " ")</f>
        <v xml:space="preserve"> </v>
      </c>
      <c r="H11" s="321" t="str">
        <f t="shared" si="2"/>
        <v xml:space="preserve">Milestone2-Task3: Benchmark Significant Greenhouse Gas Emitters (SGEs) </v>
      </c>
      <c r="I11" s="329" t="str">
        <f>IF(F11=1,Feedback_List!F21, " ")</f>
        <v xml:space="preserve"> </v>
      </c>
      <c r="J11" s="62" t="str">
        <f>IF(F11=0,Feedback_List!E21, " ")</f>
        <v xml:space="preserve">• Benchmarking processes begin with normalizing energy data against key metrics like production output or revenue, enabling meaningful comparisons against industry standards to identify improvement opportunities and internal best practices across facilities. A comprehensive energy management handbook centralizes these benchmarking insights alongside company-specific standards and industry best practices, ensuring consistent implementation of energy efficiency measures, clear accountability, and alignment with long-term decarbonization goals. </v>
      </c>
      <c r="K11" s="329" t="str">
        <f>IF(F11=1,Feedback_List!F99,"")</f>
        <v/>
      </c>
      <c r="L11" s="257" t="str">
        <f>IF(F11=0,Feedback_List!E99,"")</f>
        <v>•Implementing benchmarking activities would allow you to compare your performance against industry best practices and standards, revealing important improvement opportunities and setting appropriate targets.</v>
      </c>
    </row>
    <row r="12" spans="1:12">
      <c r="A12" s="278" t="str">
        <f>Milestone_2!J38</f>
        <v>Task 4</v>
      </c>
      <c r="B12" s="368" t="str">
        <f>"Milestone2-Task4:" &amp; " " &amp; Milestone_2!K38</f>
        <v xml:space="preserve">Milestone2-Task4: Select systems for further analysis </v>
      </c>
      <c r="C12" s="397">
        <f>Milestone_2!AG40</f>
        <v>0</v>
      </c>
      <c r="D12" s="397">
        <f>Milestone_2!AK10</f>
        <v>3</v>
      </c>
      <c r="E12" s="397">
        <f t="shared" si="0"/>
        <v>1.5</v>
      </c>
      <c r="F12" s="442">
        <f t="shared" si="1"/>
        <v>0</v>
      </c>
      <c r="G12" s="455" t="str">
        <f>IF(F12=1,B12, " ")</f>
        <v xml:space="preserve"> </v>
      </c>
      <c r="H12" s="371"/>
      <c r="I12" s="449"/>
      <c r="J12" s="368" t="str">
        <f>IF(F12=0,Feedback_List!E24, " ")</f>
        <v>• Companies should prioritize hard-to-decarbonize Significant Emission Sources (SGEs) through a data-driven assessment that ranks emission sources by magnitude and frequency across facilities.</v>
      </c>
      <c r="K12" s="449"/>
      <c r="L12" s="371"/>
    </row>
    <row r="13" spans="1:12" ht="17" thickBot="1">
      <c r="A13" s="1061" t="s">
        <v>596</v>
      </c>
      <c r="B13" s="1061"/>
      <c r="C13" s="290">
        <f>SUM(C9:C12)</f>
        <v>0</v>
      </c>
      <c r="D13" s="290">
        <f>SUM(D9:D12)</f>
        <v>15</v>
      </c>
      <c r="E13" s="290">
        <f>SUM(E9:E12)</f>
        <v>7.5</v>
      </c>
      <c r="F13" s="443"/>
      <c r="G13" s="388" t="str">
        <f>_xlfn.TEXTJOIN(CHAR(10),TRUE,G9,G10,G11,G12)</f>
        <v xml:space="preserve"> 
 </v>
      </c>
      <c r="H13" s="388" t="str">
        <f>_xlfn.TEXTJOIN(CHAR(10),TRUE,H9,H10,H11,H12)</f>
        <v xml:space="preserve">Milestone2-Task2: Identify and quantify GHG emissions for Significant Greenhouse Gas Emitters (SGEs) 
Milestone2-Task3: Benchmark Significant Greenhouse Gas Emitters (SGEs) </v>
      </c>
      <c r="I13" s="390" t="str">
        <f>_xlfn.TEXTJOIN(CHAR(10),TRUE,I9,I10,I11,I12)</f>
        <v xml:space="preserve"> 
 </v>
      </c>
      <c r="J13" s="430" t="str">
        <f>_xlfn.TEXTJOIN(CHAR(10),TRUE,J9,J10,J11,J12)</f>
        <v>• Companies should consider key operational characteristics as they determine the feasibility and impact of emission reduction initiatives. Facility type, ownership, and location influence available options, while grid carbon intensity affects electrification benefits. Understanding equipment lifecycles and process emissions helps target major opportunities, while knowledge of incentives optimizes project economics.
• Companies should identify and quantify significant emission sources (SGEs) as understanding these helps prioritize cost-effective reduction opportunities and investments in cleaner technologies.
• Benchmarking processes begin with normalizing energy data against key metrics like production output or revenue, enabling meaningful comparisons against industry standards to identify improvement opportunities and internal best practices across facilities. A comprehensive energy management handbook centralizes these benchmarking insights alongside company-specific standards and industry best practices, ensuring consistent implementation of energy efficiency measures, clear accountability, and alignment with long-term decarbonization goals. 
• Companies should prioritize hard-to-decarbonize Significant Emission Sources (SGEs) through a data-driven assessment that ranks emission sources by magnitude and frequency across facilities.</v>
      </c>
      <c r="K13" s="388" t="str">
        <f>_xlfn.TEXTJOIN(CHAR(10),TRUE,K9,K10,K11)</f>
        <v/>
      </c>
      <c r="L13" s="389" t="str">
        <f>_xlfn.TEXTJOIN(CHAR(10),TRUE,L9,L10,L11)</f>
        <v>•Identifying key characteristics within your portfolio to establish clear prioritization criteria. This would help focus your resources on the most impactful initiatives first.
•Consider conducting a thorough assessment to identify significant systems and processes with high emissions, as targeting these areas would yield substantial reductions.
•Implementing benchmarking activities would allow you to compare your performance against industry best practices and standards, revealing important improvement opportunities and setting appropriate targets.</v>
      </c>
    </row>
    <row r="14" spans="1:12" s="29" customFormat="1" ht="17" thickTop="1">
      <c r="A14" s="1062" t="str">
        <f>Milestone_3!I2</f>
        <v>Milestone 3: Assess Measures</v>
      </c>
      <c r="B14" s="1063"/>
      <c r="C14" s="29" t="s">
        <v>632</v>
      </c>
      <c r="D14" s="29" t="s">
        <v>634</v>
      </c>
      <c r="E14" s="29" t="s">
        <v>633</v>
      </c>
      <c r="F14" s="29" t="s">
        <v>639</v>
      </c>
      <c r="G14" s="447"/>
      <c r="H14" s="319"/>
      <c r="I14" s="447"/>
      <c r="J14" s="287"/>
      <c r="K14" s="388"/>
      <c r="L14" s="444"/>
    </row>
    <row r="15" spans="1:12">
      <c r="A15" s="395" t="str">
        <f>Milestone_3!J5</f>
        <v>Task 1</v>
      </c>
      <c r="B15" s="396" t="str">
        <f>"Milestone3-Task1:" &amp; " " &amp; Milestone_3!K5</f>
        <v>Milestone3-Task1: Facility level GHG emissions reduction assessment planning</v>
      </c>
      <c r="C15" s="400">
        <f>Milestone_3!AH7</f>
        <v>0</v>
      </c>
      <c r="D15" s="400">
        <f>Milestone_3!AL7</f>
        <v>15</v>
      </c>
      <c r="E15" s="400">
        <f t="shared" si="0"/>
        <v>7.5</v>
      </c>
      <c r="F15" s="64">
        <f t="shared" si="1"/>
        <v>0</v>
      </c>
      <c r="G15" s="456" t="str">
        <f>IF(F15=1,B15, " ")</f>
        <v xml:space="preserve"> </v>
      </c>
      <c r="H15" s="376" t="str">
        <f t="shared" si="2"/>
        <v>Milestone3-Task1: Facility level GHG emissions reduction assessment planning</v>
      </c>
      <c r="I15" s="448" t="str">
        <f>IF(F15=1,Feedback_List!F27, " ")</f>
        <v xml:space="preserve"> </v>
      </c>
      <c r="J15" s="372" t="str">
        <f>IF(F15=0,Feedback_List!E27, " ")</f>
        <v>• A facility-level decarbonization assessment provides organizations with crucial granular data needed to develop an effective Emission Reduction Plan (ERP). By examining each facility individually, organizations can identify facility-specific emission hotspots, unique reduction opportunities, and operational constraints that would be missed in a portfolio-wide approach. This facility-by-facility analysis enables more precise prioritization of investments based on each site's emission profile, cost-effectiveness of potential interventions, and technical feasibility. Additionally, a detailed facility assessment helps organizations set realistic, site-specific reduction targets that account for local factors like energy grid composition, climate conditions, and regulatory requirements. This granularity creates a more actionable ERP with tailored implementation strategies for each facility, improving overall execution effectiveness and maximizing emission reductions across the entire portfolio.</v>
      </c>
      <c r="K15" s="448" t="str">
        <f>IF(F15=1,Feedback_List!F102,"")</f>
        <v/>
      </c>
      <c r="L15" s="376" t="str">
        <f>IF(F15=0,Feedback_List!E102,"")</f>
        <v xml:space="preserve">•Conduct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decarbonization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v>
      </c>
    </row>
    <row r="16" spans="1:12">
      <c r="A16" s="401" t="str">
        <f>Milestone_3!J71</f>
        <v>Task 2</v>
      </c>
      <c r="B16" s="402" t="str">
        <f>"Milestone3-Task2:" &amp; " " &amp; Milestone_3!K71</f>
        <v>Milestone3-Task2: Portfolio level GHG emissions reduction assessment planning</v>
      </c>
      <c r="C16" s="403">
        <f>Milestone_3!AH73</f>
        <v>0</v>
      </c>
      <c r="D16" s="403">
        <f>Milestone_3!AL8</f>
        <v>10</v>
      </c>
      <c r="E16" s="403">
        <f t="shared" si="0"/>
        <v>5</v>
      </c>
      <c r="F16" s="442">
        <f t="shared" si="1"/>
        <v>0</v>
      </c>
      <c r="G16" s="455" t="str">
        <f>IF(F16=1,B16, " ")</f>
        <v xml:space="preserve"> </v>
      </c>
      <c r="H16" s="377" t="str">
        <f t="shared" si="2"/>
        <v>Milestone3-Task2: Portfolio level GHG emissions reduction assessment planning</v>
      </c>
      <c r="I16" s="450" t="str">
        <f>IF(F16=1, Feedback_List!F40, " ")</f>
        <v xml:space="preserve"> </v>
      </c>
      <c r="J16" s="368" t="str">
        <f>IF(F16=0, Feedback_List!E40, " ")</f>
        <v>• A portfolio-level decarbonization assessment enables organizations to develop comprehensive strategies that capture enterprise-wide opportunities often missed in facility-focused approaches. By examining renewable energy procurement at scale, organizations can negotiate better power purchase agreements, reduce costs through larger volume contracts, and optimize placement of renewable assets across their portfolio rather than sub-optimizing at individual sites. For mobile emissions, a portfolio assessment allows for strategic fleet management decisions, including centralized vehicle replacement schedules, consolidated charging infrastructure planning, and coordinated logistics optimization that reduces overall transportation emissions. This holistic approach also identifies cross-facility synergies where excess renewable generation at one site could benefit another or where circular economy initiatives could reduce emissions across multiple locations. Portfolio-level assessment provides critical context for capital allocation decisions, helping organizations balance investments between high-impact centralized initiatives and facility-specific projects.</v>
      </c>
      <c r="K16" s="450" t="str">
        <f>IF(F16=1,Feedback_List!F103,"")</f>
        <v/>
      </c>
      <c r="L16" s="377" t="str">
        <f>IF(F16=0,Feedback_List!E103,"")</f>
        <v>•Conduct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v>
      </c>
    </row>
    <row r="17" spans="1:12" ht="17" thickBot="1">
      <c r="A17" s="1061" t="s">
        <v>596</v>
      </c>
      <c r="B17" s="1061"/>
      <c r="C17" s="290">
        <f>SUM(C15:C16)</f>
        <v>0</v>
      </c>
      <c r="D17" s="290">
        <f>SUM(D15:D16)</f>
        <v>25</v>
      </c>
      <c r="E17" s="290">
        <f>SUM(E15:E16)</f>
        <v>12.5</v>
      </c>
      <c r="F17" s="443"/>
      <c r="G17" s="388" t="str">
        <f t="shared" ref="G17:L17" si="5">_xlfn.TEXTJOIN(CHAR(10),TRUE,G15,G16)</f>
        <v xml:space="preserve"> 
 </v>
      </c>
      <c r="H17" s="388" t="str">
        <f t="shared" si="5"/>
        <v>Milestone3-Task1: Facility level GHG emissions reduction assessment planning
Milestone3-Task2: Portfolio level GHG emissions reduction assessment planning</v>
      </c>
      <c r="I17" s="390" t="str">
        <f t="shared" si="5"/>
        <v xml:space="preserve"> 
 </v>
      </c>
      <c r="J17" s="430" t="str">
        <f t="shared" si="5"/>
        <v>• A facility-level decarbonization assessment provides organizations with crucial granular data needed to develop an effective Emission Reduction Plan (ERP). By examining each facility individually, organizations can identify facility-specific emission hotspots, unique reduction opportunities, and operational constraints that would be missed in a portfolio-wide approach. This facility-by-facility analysis enables more precise prioritization of investments based on each site's emission profile, cost-effectiveness of potential interventions, and technical feasibility. Additionally, a detailed facility assessment helps organizations set realistic, site-specific reduction targets that account for local factors like energy grid composition, climate conditions, and regulatory requirements. This granularity creates a more actionable ERP with tailored implementation strategies for each facility, improving overall execution effectiveness and maximizing emission reductions across the entire portfolio.
• A portfolio-level decarbonization assessment enables organizations to develop comprehensive strategies that capture enterprise-wide opportunities often missed in facility-focused approaches. By examining renewable energy procurement at scale, organizations can negotiate better power purchase agreements, reduce costs through larger volume contracts, and optimize placement of renewable assets across their portfolio rather than sub-optimizing at individual sites. For mobile emissions, a portfolio assessment allows for strategic fleet management decisions, including centralized vehicle replacement schedules, consolidated charging infrastructure planning, and coordinated logistics optimization that reduces overall transportation emissions. This holistic approach also identifies cross-facility synergies where excess renewable generation at one site could benefit another or where circular economy initiatives could reduce emissions across multiple locations. Portfolio-level assessment provides critical context for capital allocation decisions, helping organizations balance investments between high-impact centralized initiatives and facility-specific projects.</v>
      </c>
      <c r="K17" s="390" t="str">
        <f t="shared" si="5"/>
        <v/>
      </c>
      <c r="L17" s="458" t="str">
        <f t="shared" si="5"/>
        <v>•Conduct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decarbonization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v>
      </c>
    </row>
    <row r="18" spans="1:12" s="29" customFormat="1" ht="17" thickTop="1">
      <c r="A18" s="1062" t="str">
        <f>Milestone_4!I2</f>
        <v>Milestone 4: Develop Scenarios</v>
      </c>
      <c r="B18" s="1063"/>
      <c r="C18" s="29" t="s">
        <v>632</v>
      </c>
      <c r="D18" s="29" t="s">
        <v>634</v>
      </c>
      <c r="E18" s="29" t="s">
        <v>633</v>
      </c>
      <c r="F18" s="29" t="s">
        <v>638</v>
      </c>
      <c r="G18" s="447"/>
      <c r="H18" s="319"/>
      <c r="I18" s="451"/>
      <c r="J18" s="287"/>
      <c r="K18" s="390"/>
      <c r="L18" s="319"/>
    </row>
    <row r="19" spans="1:12">
      <c r="A19" s="395" t="str">
        <f>Milestone_4!J5</f>
        <v>Task 1</v>
      </c>
      <c r="B19" s="396" t="str">
        <f>"Milestone4-Task1:" &amp; " " &amp; Milestone_4!K5</f>
        <v>Milestone4-Task1: Establish scenario parameters</v>
      </c>
      <c r="C19" s="400">
        <f>Milestone_4!AO19</f>
        <v>0</v>
      </c>
      <c r="D19" s="400">
        <f>Milestone_4!AV7</f>
        <v>8</v>
      </c>
      <c r="E19" s="400">
        <f t="shared" si="0"/>
        <v>4</v>
      </c>
      <c r="F19" s="64">
        <f t="shared" si="1"/>
        <v>0</v>
      </c>
      <c r="G19" s="456" t="str">
        <f>IF(F19=1,B19, " ")</f>
        <v xml:space="preserve"> </v>
      </c>
      <c r="H19" s="370" t="str">
        <f t="shared" si="2"/>
        <v>Milestone4-Task1: Establish scenario parameters</v>
      </c>
      <c r="I19" s="448" t="str">
        <f>IF(F19=1,Feedback_List!F47, " ")</f>
        <v xml:space="preserve"> </v>
      </c>
      <c r="J19" s="372" t="str">
        <f>IF(F19=0,Feedback_List!E47, " ")</f>
        <v>• Developing multiple decarbonization pathways provides companies with strategic flexibility in an uncertain and rapidly evolving environment. Different scenarios allow organizations to account for various technological developments, market shifts, regulatory changes, and investment timelines that could significantly impact the feasibility of their decarbonization efforts. By modeling multiple pathways, companies can identify common "no-regrets" actions that deliver value across all scenarios while maintaining optionality for future decision points. This approach creates resilience against disruptions like supply chain issues, technology underperformance, or budget constraints that might derail a single-pathway strategy. Having alternative pathways enables companies to adapt more quickly as conditions change, pivoting between strategies based on emerging opportunities or challenges rather than having to rebuild their entire approach when faced with unexpected obstacles.</v>
      </c>
      <c r="K19" s="448" t="str">
        <f>IF(F19=1,Feedback_List!F105,"")</f>
        <v/>
      </c>
      <c r="L19" s="376" t="str">
        <f>IF(F19=0,Feedback_List!E105,"")</f>
        <v xml:space="preserve">•Establish multiple scenarios that could affect your emission reduction efforts. Developing these alternative futures would create more resilient planning that accounts for uncertainties in technology, markets,cost and regulations, and other external factors. </v>
      </c>
    </row>
    <row r="20" spans="1:12">
      <c r="A20" s="353" t="str">
        <f>Milestone_4!J26</f>
        <v>Task 2</v>
      </c>
      <c r="B20" s="62" t="str">
        <f>"Milestone4-Task2:" &amp; " " &amp; Milestone_4!K26</f>
        <v>Milestone4-Task2: Estimate future business portfolio changes</v>
      </c>
      <c r="C20" s="400">
        <f>Milestone_4!AO28</f>
        <v>0</v>
      </c>
      <c r="D20" s="400">
        <f>Milestone_4!AV8</f>
        <v>3</v>
      </c>
      <c r="E20" s="400">
        <f t="shared" si="0"/>
        <v>1.5</v>
      </c>
      <c r="F20" s="64">
        <f t="shared" si="1"/>
        <v>0</v>
      </c>
      <c r="G20" s="320" t="str">
        <f>IF(F20=1,B20, " ")</f>
        <v xml:space="preserve"> </v>
      </c>
      <c r="H20" s="321"/>
      <c r="I20" s="329" t="str">
        <f>IF(F20=1,Feedback_List!F50, " ")</f>
        <v xml:space="preserve"> </v>
      </c>
      <c r="J20" s="62" t="str">
        <f>IF(F20=0,Feedback_List!E50, " ")</f>
        <v>• Corporate emission strategies must anticipate portfolio changes from acquisitions, divestments, and capacity expansions, building flexibility to maintain decarbonization momentum despite evolving business operations. Companies expanding into different markets need scenarios accounting for regional variations in renewable energy availability and regulatory environments, while product mix shifts substantially impact emission profiles. Facility renovations and new construction offer cost-effective opportunities to implement low-carbon technologies rather than relying on future retrofits.</v>
      </c>
      <c r="K20" s="329" t="str">
        <f>IF(F20=1,Feedback_List!F106,"")</f>
        <v/>
      </c>
      <c r="L20" s="257" t="str">
        <f>IF(F20=0,Feedback_List!E106,"")</f>
        <v>•Identify potential business portfolio changes—such as acquisitions, divestitures, or new product lines—could significantly impact your emissions profile.</v>
      </c>
    </row>
    <row r="21" spans="1:12">
      <c r="A21" s="353" t="str">
        <f>Milestone_4!J36</f>
        <v>Task 3</v>
      </c>
      <c r="B21" s="62" t="str">
        <f>"Milestone4-Task3:" &amp; " " &amp; Milestone_4!K36</f>
        <v>Milestone4-Task3: Review emissions reduction measures</v>
      </c>
      <c r="C21" s="400">
        <f>Milestone_4!AO38</f>
        <v>0</v>
      </c>
      <c r="D21" s="400">
        <f>Milestone_4!AV9</f>
        <v>1</v>
      </c>
      <c r="E21" s="400">
        <f t="shared" si="0"/>
        <v>0.5</v>
      </c>
      <c r="F21" s="64">
        <f t="shared" si="1"/>
        <v>0</v>
      </c>
      <c r="G21" s="320" t="str">
        <f>IF(F21=1,B21, " ")</f>
        <v xml:space="preserve"> </v>
      </c>
      <c r="H21" s="321"/>
      <c r="I21" s="329" t="str">
        <f>IF(F21=1,Feedback_List!F52, " ")</f>
        <v xml:space="preserve"> </v>
      </c>
      <c r="J21" s="62" t="str">
        <f>IF(F21=0,Feedback_List!E52, " ")</f>
        <v>• Systematically evaluating decarbonization projects across multiple dimensions allows companies to develop roadmaps that balance immediate impact with strategic positioning, prioritizing initiatives with the highest emission reduction potential per dollar invested while anticipating infrastructure demands and potential bottlenecks. Companies can sequence initiatives to align with scheduled maintenance periods or seasonal fluctuations, minimizing operational disruptions while maintaining progress toward emission targets. This temporal planning approach enables organizations to implement near-term projects for immediate progress while simultaneously laying foundational work for longer-term solutions, strategically timing deployments to capture cost reductions as technologies mature.</v>
      </c>
      <c r="K21" s="459"/>
      <c r="L21" s="257"/>
    </row>
    <row r="22" spans="1:12">
      <c r="A22" s="395" t="str">
        <f>Milestone_4!J47</f>
        <v>Task 4</v>
      </c>
      <c r="B22" s="396" t="str">
        <f>"Milestone4-Task4:" &amp; " " &amp; Milestone_4!K47</f>
        <v>Milestone4-Task4: Define scenarios</v>
      </c>
      <c r="C22" s="400">
        <f>Milestone_4!AO49</f>
        <v>0</v>
      </c>
      <c r="D22" s="400">
        <f>Milestone_4!AV10</f>
        <v>10</v>
      </c>
      <c r="E22" s="400">
        <f t="shared" si="0"/>
        <v>5</v>
      </c>
      <c r="F22" s="64">
        <f t="shared" si="1"/>
        <v>0</v>
      </c>
      <c r="G22" s="320" t="str">
        <f>IF(F22=1,B22, " ")</f>
        <v xml:space="preserve"> </v>
      </c>
      <c r="H22" s="321" t="str">
        <f t="shared" si="2"/>
        <v>Milestone4-Task4: Define scenarios</v>
      </c>
      <c r="I22" s="329" t="str">
        <f>IF(F22=1,Feedback_List!F54, " ")</f>
        <v xml:space="preserve"> </v>
      </c>
      <c r="J22" s="62" t="str">
        <f>IF(F22=0,Feedback_List!E54, " ")</f>
        <v>• Defining Scenarios and  accounting for critical cost variables enables companies to create emission reduction strategies that remain economically viable through market fluctuations, technological changes, and macroeconomic shifts, particularly as fossil fuel prices, low-carbon fuel markets, and electricity costs evolve. Companies should integrate financing parameters like interest rates and funding mechanisms into decarbonization planning, creating structured approaches such as internal carbon pricing, dedicated capital allocations, and revolving sustainability funds that ensure climate projects don't compete directly against core business investments. Organizations must model grid decarbonization timelines to properly sequence electrification investments, while assessing technologies along a readiness spectrum to balance innovation with reliability for both immediate deployment and future implementation. Projecting how electrification, efficiency improvements, and production changes will reshape energy profiles helps identify potential constraints in utility capacity and highlights opportunities for demand management through load shifting or storage. Additionally, companies must assess regulatory considerations, including how permitting processes for new technologies might affect implementation schedules, to develop realistic timelines for their decarbonization roadmaps.</v>
      </c>
      <c r="K22" s="329" t="str">
        <f>IF(F22=1,Feedback_List!F108,"")</f>
        <v/>
      </c>
      <c r="L22" s="257" t="str">
        <f>IF(F22=0,Feedback_List!E108,"")</f>
        <v>•Once these scenarios and portfolio changes are outlined, evaluating their effects on your decarbonization trajectory would allow for more adaptive planning rather than a single rigid pathway. This scenario-based methodology would help future-proof your climate strategy, ensuring it remains relevant and effective despite changing business conditions.</v>
      </c>
    </row>
    <row r="23" spans="1:12">
      <c r="A23" s="278" t="str">
        <f>Milestone_4!J73</f>
        <v>Task 5</v>
      </c>
      <c r="B23" s="368" t="str">
        <f>"Milestone4-Task5:" &amp; " " &amp; Milestone_4!K73</f>
        <v>Milestone4-Task5: Evaluate scenarios</v>
      </c>
      <c r="C23" s="403">
        <f>Milestone_4!AO75</f>
        <v>0</v>
      </c>
      <c r="D23" s="403">
        <f>Milestone_4!AV12</f>
        <v>3</v>
      </c>
      <c r="E23" s="403">
        <f t="shared" si="0"/>
        <v>1.5</v>
      </c>
      <c r="F23" s="442">
        <f t="shared" si="1"/>
        <v>0</v>
      </c>
      <c r="G23" s="455" t="str">
        <f>IF(F23=1,B23, " ")</f>
        <v xml:space="preserve"> </v>
      </c>
      <c r="H23" s="371"/>
      <c r="I23" s="450" t="str">
        <f>IF(F23=1,Feedback_List!F58, " ")</f>
        <v xml:space="preserve"> </v>
      </c>
      <c r="J23" s="368" t="str">
        <f>IF(F23=0,Feedback_List!E58, " ")</f>
        <v>• Developing comprehensive cost, technology, and financial scenarios for decarbonization planning enables companies to maintain strategic flexibility while optimizing resource allocation across different time horizons in an uncertain transition landscape. These well-constructed scenarios demonstrate credible pathways to ambitious targets with realistic financial implications, building investor and stakeholder confidence while anticipating multiple possible futures.</v>
      </c>
      <c r="K23" s="449"/>
      <c r="L23" s="377"/>
    </row>
    <row r="24" spans="1:12" ht="17" thickBot="1">
      <c r="A24" s="1061" t="s">
        <v>596</v>
      </c>
      <c r="B24" s="1061"/>
      <c r="C24" s="290">
        <f>SUM(C19:C23)</f>
        <v>0</v>
      </c>
      <c r="D24" s="290">
        <f>SUM(D19:D23)</f>
        <v>25</v>
      </c>
      <c r="E24" s="290">
        <f>SUM(E19:E23)</f>
        <v>12.5</v>
      </c>
      <c r="F24" s="443"/>
      <c r="G24" s="388" t="str">
        <f>_xlfn.TEXTJOIN(CHAR(10),TRUE,G19,G20,G21,G22,G23)</f>
        <v xml:space="preserve"> 
 </v>
      </c>
      <c r="H24" s="388" t="str">
        <f>_xlfn.TEXTJOIN(CHAR(10),TRUE,H19,H20,H21,H22,H23)</f>
        <v>Milestone4-Task1: Establish scenario parameters
Milestone4-Task4: Define scenarios</v>
      </c>
      <c r="I24" s="390" t="str">
        <f>_xlfn.TEXTJOIN(CHAR(10),TRUE,I19,I20,I21,I22,I23)</f>
        <v xml:space="preserve"> 
 </v>
      </c>
      <c r="J24" s="430" t="str">
        <f>_xlfn.TEXTJOIN(CHAR(10),TRUE,J19,J20,J21,J22,J23)</f>
        <v>• Developing multiple decarbonization pathways provides companies with strategic flexibility in an uncertain and rapidly evolving environment. Different scenarios allow organizations to account for various technological developments, market shifts, regulatory changes, and investment timelines that could significantly impact the feasibility of their decarbonization efforts. By modeling multiple pathways, companies can identify common "no-regrets" actions that deliver value across all scenarios while maintaining optionality for future decision points. This approach creates resilience against disruptions like supply chain issues, technology underperformance, or budget constraints that might derail a single-pathway strategy. Having alternative pathways enables companies to adapt more quickly as conditions change, pivoting between strategies based on emerging opportunities or challenges rather than having to rebuild their entire approach when faced with unexpected obstacles.
• Corporate emission strategies must anticipate portfolio changes from acquisitions, divestments, and capacity expansions, building flexibility to maintain decarbonization momentum despite evolving business operations. Companies expanding into different markets need scenarios accounting for regional variations in renewable energy availability and regulatory environments, while product mix shifts substantially impact emission profiles. Facility renovations and new construction offer cost-effective opportunities to implement low-carbon technologies rather than relying on future retrofits.
• Systematically evaluating decarbonization projects across multiple dimensions allows companies to develop roadmaps that balance immediate impact with strategic positioning, prioritizing initiatives with the highest emission reduction potential per dollar invested while anticipating infrastructure demands and potential bottlenecks. Companies can sequence initiatives to align with scheduled maintenance periods or seasonal fluctuations, minimizing operational disruptions while maintaining progress toward emission targets. This temporal planning approach enables organizations to implement near-term projects for immediate progress while simultaneously laying foundational work for longer-term solutions, strategically timing deployments to capture cost reductions as technologies mature.
• Defining Scenarios and  accounting for critical cost variables enables companies to create emission reduction strategies that remain economically viable through market fluctuations, technological changes, and macroeconomic shifts, particularly as fossil fuel prices, low-carbon fuel markets, and electricity costs evolve. Companies should integrate financing parameters like interest rates and funding mechanisms into decarbonization planning, creating structured approaches such as internal carbon pricing, dedicated capital allocations, and revolving sustainability funds that ensure climate projects don't compete directly against core business investments. Organizations must model grid decarbonization timelines to properly sequence electrification investments, while assessing technologies along a readiness spectrum to balance innovation with reliability for both immediate deployment and future implementation. Projecting how electrification, efficiency improvements, and production changes will reshape energy profiles helps identify potential constraints in utility capacity and highlights opportunities for demand management through load shifting or storage. Additionally, companies must assess regulatory considerations, including how permitting processes for new technologies might affect implementation schedules, to develop realistic timelines for their decarbonization roadmaps.
• Developing comprehensive cost, technology, and financial scenarios for decarbonization planning enables companies to maintain strategic flexibility while optimizing resource allocation across different time horizons in an uncertain transition landscape. These well-constructed scenarios demonstrate credible pathways to ambitious targets with realistic financial implications, building investor and stakeholder confidence while anticipating multiple possible futures.</v>
      </c>
      <c r="K24" s="390" t="str">
        <f>_xlfn.TEXTJOIN(CHAR(10),TRUE,K19,K20,K22)</f>
        <v/>
      </c>
      <c r="L24" s="458" t="str">
        <f>_xlfn.TEXTJOIN(CHAR(10),TRUE,L19,L20,L22)</f>
        <v>•Establish multiple scenarios that could affect your emission reduction efforts. Developing these alternative futures would create more resilient planning that accounts for uncertainties in technology, markets,cost and regulations, and other external factors. 
•Identify potential business portfolio changes—such as acquisitions, divestitures, or new product lines—could significantly impact your emissions profile.
•Once these scenarios and portfolio changes are outlined, evaluating their effects on your decarbonization trajectory would allow for more adaptive planning rather than a single rigid pathway. This scenario-based methodology would help future-proof your climate strategy, ensuring it remains relevant and effective despite changing business conditions.</v>
      </c>
    </row>
    <row r="25" spans="1:12" s="29" customFormat="1" ht="17" thickTop="1">
      <c r="A25" s="1062" t="str">
        <f>Milestone_5!I2</f>
        <v>Milestone 5: Define Emissions Reduction Plan</v>
      </c>
      <c r="B25" s="1063"/>
      <c r="C25" s="29" t="s">
        <v>632</v>
      </c>
      <c r="D25" s="29" t="s">
        <v>634</v>
      </c>
      <c r="E25" s="29" t="s">
        <v>633</v>
      </c>
      <c r="F25" s="29" t="s">
        <v>637</v>
      </c>
      <c r="G25" s="447"/>
      <c r="H25" s="319"/>
      <c r="I25" s="447"/>
      <c r="J25" s="287"/>
      <c r="K25" s="363"/>
      <c r="L25" s="452"/>
    </row>
    <row r="26" spans="1:12">
      <c r="A26" s="395" t="str">
        <f>Milestone_5!J5</f>
        <v>Task 1</v>
      </c>
      <c r="B26" s="396" t="str">
        <f>"Milestone5-Task1:" &amp; " " &amp; Milestone_5!K5</f>
        <v>Milestone5-Task1: Assess scenarios and select pathway</v>
      </c>
      <c r="C26" s="400">
        <f>Milestone_5!AI7</f>
        <v>0</v>
      </c>
      <c r="D26" s="400">
        <f>Milestone_5!AM7</f>
        <v>5</v>
      </c>
      <c r="E26" s="400">
        <f t="shared" si="0"/>
        <v>2.5</v>
      </c>
      <c r="F26" s="64">
        <f t="shared" si="1"/>
        <v>0</v>
      </c>
      <c r="G26" s="456" t="str">
        <f>IF(F26=1,B26, " ")</f>
        <v xml:space="preserve"> </v>
      </c>
      <c r="H26" s="376" t="str">
        <f t="shared" si="2"/>
        <v>Milestone5-Task1: Assess scenarios and select pathway</v>
      </c>
      <c r="I26" s="448" t="str">
        <f>IF(F26=1,Feedback_List!F61, " ")</f>
        <v xml:space="preserve"> </v>
      </c>
      <c r="J26" s="372" t="str">
        <f>IF(F26=0,Feedback_List!E61, " ")</f>
        <v>• Companies should have a list of emission reduction measure that cover both facility and corporate portfolio while completing scenario analysis to validate their contribution toward decarbonization targets. Scenario analysis is essential for testing the resilience of decarbonization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decarbonization targets and uncovers.</v>
      </c>
      <c r="K26" s="448" t="str">
        <f>IF(F26=1,Feedback_List!F111,"")</f>
        <v/>
      </c>
      <c r="L26" s="376" t="str">
        <f>IF(F26=0,Feedback_List!E111,"")</f>
        <v>•Conduct a thorough assessment of future scenarios to better understand potential challenges and opportunities. This analysis would help you develop a more adaptive plan capable of responding to changing conditions.</v>
      </c>
    </row>
    <row r="27" spans="1:12">
      <c r="A27" s="395" t="str">
        <f>Milestone_5!J24</f>
        <v>Task 2</v>
      </c>
      <c r="B27" s="396" t="str">
        <f>"Milestone5-Task2:" &amp; " " &amp; Milestone_5!K24</f>
        <v>Milestone5-Task2: Update organizational standards and procedures</v>
      </c>
      <c r="C27" s="400">
        <f>Milestone_5!AI26</f>
        <v>0</v>
      </c>
      <c r="D27" s="400">
        <f>Milestone_5!AM8</f>
        <v>4</v>
      </c>
      <c r="E27" s="400">
        <f t="shared" si="0"/>
        <v>2</v>
      </c>
      <c r="F27" s="64">
        <f t="shared" si="1"/>
        <v>0</v>
      </c>
      <c r="G27" s="320" t="str">
        <f>IF(F27=1,B27, " ")</f>
        <v xml:space="preserve"> </v>
      </c>
      <c r="H27" s="257" t="str">
        <f t="shared" si="2"/>
        <v>Milestone5-Task2: Update organizational standards and procedures</v>
      </c>
      <c r="I27" s="329" t="str">
        <f>IF(F27=1, Feedback_List!F64, " ")</f>
        <v xml:space="preserve"> </v>
      </c>
      <c r="J27" s="62" t="str">
        <f>IF(F27=0, Feedback_List!E64, " ")</f>
        <v>• Companies that strengthen their sustainability governance and operational standards achieve better resilience, investor confidence, and long-term value creation while preventing disruptions through improved maintenance practices. Updating project evaluation standards is essential to properly account for sustainability factors that increasingly impact financial performance and regulatory compliance, requiring the development of internal capabilities through training, certification, and subject matter expertise to establish the human capital foundation necessary for successful decarbonization. Critical operational areas like procurement, equipment replacement, and supply chain collaboration represent key leverage points for achieving significant emissions reductions while often delivering cost savings through improved efficiency. Traditional capital allocation models must be revised as they systematically undervalue long-term climate benefits and overweigh short-term costs, while effective communication of decarbonization efforts builds stakeholder trust and creates competitive advantage in today's environmentally conscious marketplace.</v>
      </c>
      <c r="K27" s="329" t="str">
        <f>IF(F27=1,Feedback_List!F112,"")</f>
        <v/>
      </c>
      <c r="L27" s="257" t="str">
        <f>IF(F27=0,Feedback_List!E112,"")</f>
        <v>•Update your company standards around financing, governance, communication, and training to fully support implementation.</v>
      </c>
    </row>
    <row r="28" spans="1:12">
      <c r="A28" s="395" t="str">
        <f>Milestone_5!J84</f>
        <v>Task 3</v>
      </c>
      <c r="B28" s="396" t="str">
        <f>"Milestone5-Task3:" &amp; " " &amp; Milestone_5!K84</f>
        <v>Milestone5-Task3: Define financing and project deployment schedule</v>
      </c>
      <c r="C28" s="400">
        <f>Milestone_5!AI86</f>
        <v>0</v>
      </c>
      <c r="D28" s="400">
        <f>Milestone_5!AM9</f>
        <v>4</v>
      </c>
      <c r="E28" s="400">
        <f t="shared" si="0"/>
        <v>2</v>
      </c>
      <c r="F28" s="64">
        <f t="shared" si="1"/>
        <v>0</v>
      </c>
      <c r="G28" s="320" t="str">
        <f>IF(F28=1,B28, " ")</f>
        <v xml:space="preserve"> </v>
      </c>
      <c r="H28" s="257" t="str">
        <f t="shared" si="2"/>
        <v>Milestone5-Task3: Define financing and project deployment schedule</v>
      </c>
      <c r="I28" s="329" t="str">
        <f>IF(F28=1, Feedback_List!F73, " ")</f>
        <v xml:space="preserve"> </v>
      </c>
      <c r="J28" s="62" t="str">
        <f>IF(F28=0, Feedback_List!E73, " ")</f>
        <v>• Companies should define financing and project deployment schedules for their Emission Reduction Plans to replace ad-hoc approaches with systematic implementation, preventing missed opportunities and inefficient resource allocation. Well-structured financing schedules ensure appropriate funding mechanisms align with project timelines, while thoughtful deployment sequences optimize interdependencies between initiatives, minimize disruptions, and maximize cost-saving synergies. Clear timelines with established milestones create organizational accountability and enable regular assessment as technologies and regulations evolve, transforming abstract sustainability goals into concrete action plans that build credibility with stakeholders demanding transparent climate commitments.</v>
      </c>
      <c r="K28" s="329" t="str">
        <f>IF(F28=1,Feedback_List!F113,"")</f>
        <v/>
      </c>
      <c r="L28" s="257" t="str">
        <f>IF(F28=0,Feedback_List!E113,"")</f>
        <v>•Clearly define your financing strategy for the plan, including potential funding sources and investment criteria. Developing a detailed project deployment schedule with clear timelines, responsibilities, and dependencies would significantly improve execution.</v>
      </c>
    </row>
    <row r="29" spans="1:12">
      <c r="A29" s="278" t="str">
        <f>Milestone_5!J113</f>
        <v>Task 4</v>
      </c>
      <c r="B29" s="368" t="str">
        <f>"Milestone5-Task4:" &amp; " " &amp; Milestone_5!K113</f>
        <v>Milestone5-Task4: Secure final buy-in from stakeholder and release plan</v>
      </c>
      <c r="C29" s="403">
        <f>Milestone_5!AI115</f>
        <v>0</v>
      </c>
      <c r="D29" s="403">
        <f>Milestone_5!AM10</f>
        <v>2</v>
      </c>
      <c r="E29" s="403">
        <f t="shared" si="0"/>
        <v>1</v>
      </c>
      <c r="F29" s="442">
        <f t="shared" si="1"/>
        <v>0</v>
      </c>
      <c r="G29" s="455" t="str">
        <f>IF(F29=1,B29, " ")</f>
        <v xml:space="preserve"> </v>
      </c>
      <c r="H29" s="371"/>
      <c r="I29" s="450" t="str">
        <f>IF(F29=1, Feedback_List!F77, " ")</f>
        <v xml:space="preserve"> </v>
      </c>
      <c r="J29" s="368" t="str">
        <f>IF(F29=0, Feedback_List!E77, " ")</f>
        <v>• Companies should secure final stakeholder buy-in and formally release their Emission Reduction Plan because official endorsement transforms the plan from an aspirational document into an actionable commitment with organizational accountability. A formally released ERP sends a clear signal to employees about strategic priorities, establishes credibility with external stakeholders seeking evidence of genuine climate action, and creates a unified reference point that aligns diverse departments around common sustainability objectives and timelines.</v>
      </c>
      <c r="K29" s="450" t="str">
        <f>IF(F29=1,Feedback_List!F114,"")</f>
        <v/>
      </c>
      <c r="L29" s="377" t="str">
        <f>IF(F29=0,Feedback_List!E114,"")</f>
        <v>•These enhancements would help secure stronger buy-in from stakeholders before officially releasing your decarbonization plan.</v>
      </c>
    </row>
    <row r="30" spans="1:12" ht="17" thickBot="1">
      <c r="A30" s="1061" t="s">
        <v>596</v>
      </c>
      <c r="B30" s="1061"/>
      <c r="C30" s="290">
        <f>SUM(C26:C29)</f>
        <v>0</v>
      </c>
      <c r="D30" s="290">
        <f>SUM(D26:D29)</f>
        <v>15</v>
      </c>
      <c r="E30" s="290">
        <f>SUM(E26:E29)</f>
        <v>7.5</v>
      </c>
      <c r="F30" s="443"/>
      <c r="G30" s="388" t="str">
        <f t="shared" ref="G30:L30" si="6">_xlfn.TEXTJOIN(CHAR(10),TRUE,G26,G27,G28,G29)</f>
        <v xml:space="preserve"> 
 </v>
      </c>
      <c r="H30" s="388" t="str">
        <f t="shared" si="6"/>
        <v>Milestone5-Task1: Assess scenarios and select pathway
Milestone5-Task2: Update organizational standards and procedures
Milestone5-Task3: Define financing and project deployment schedule</v>
      </c>
      <c r="I30" s="390" t="str">
        <f t="shared" si="6"/>
        <v xml:space="preserve"> 
 </v>
      </c>
      <c r="J30" s="430" t="str">
        <f t="shared" si="6"/>
        <v>• Companies should have a list of emission reduction measure that cover both facility and corporate portfolio while completing scenario analysis to validate their contribution toward decarbonization targets. Scenario analysis is essential for testing the resilience of decarbonization strategies against multiple possible futures, including various carbon pricing scenarios, technology shifts, and regulatory changes. This forward-looking approach helps companies identify potential shortfalls in their strategies before they materialize and develop contingency plans for initiatives that may underperform. Beyond risk management, robust scenario analysis validates the achievability of stated decarbonization targets and uncovers.
• Companies that strengthen their sustainability governance and operational standards achieve better resilience, investor confidence, and long-term value creation while preventing disruptions through improved maintenance practices. Updating project evaluation standards is essential to properly account for sustainability factors that increasingly impact financial performance and regulatory compliance, requiring the development of internal capabilities through training, certification, and subject matter expertise to establish the human capital foundation necessary for successful decarbonization. Critical operational areas like procurement, equipment replacement, and supply chain collaboration represent key leverage points for achieving significant emissions reductions while often delivering cost savings through improved efficiency. Traditional capital allocation models must be revised as they systematically undervalue long-term climate benefits and overweigh short-term costs, while effective communication of decarbonization efforts builds stakeholder trust and creates competitive advantage in today's environmentally conscious marketplace.
• Companies should define financing and project deployment schedules for their Emission Reduction Plans to replace ad-hoc approaches with systematic implementation, preventing missed opportunities and inefficient resource allocation. Well-structured financing schedules ensure appropriate funding mechanisms align with project timelines, while thoughtful deployment sequences optimize interdependencies between initiatives, minimize disruptions, and maximize cost-saving synergies. Clear timelines with established milestones create organizational accountability and enable regular assessment as technologies and regulations evolve, transforming abstract sustainability goals into concrete action plans that build credibility with stakeholders demanding transparent climate commitments.
• Companies should secure final stakeholder buy-in and formally release their Emission Reduction Plan because official endorsement transforms the plan from an aspirational document into an actionable commitment with organizational accountability. A formally released ERP sends a clear signal to employees about strategic priorities, establishes credibility with external stakeholders seeking evidence of genuine climate action, and creates a unified reference point that aligns diverse departments around common sustainability objectives and timelines.</v>
      </c>
      <c r="K30" s="390" t="str">
        <f t="shared" si="6"/>
        <v/>
      </c>
      <c r="L30" s="458" t="str">
        <f t="shared" si="6"/>
        <v>•Conduct a thorough assessment of future scenarios to better understand potential challenges and opportunities. This analysis would help you develop a more adaptive plan capable of responding to changing conditions.
•Update your company standards around financing, governance, communication, and training to fully support implementation.
•Clearly define your financing strategy for the plan, including potential funding sources and investment criteria. Developing a detailed project deployment schedule with clear timelines, responsibilities, and dependencies would significantly improve execution.
•These enhancements would help secure stronger buy-in from stakeholders before officially releasing your decarbonization plan.</v>
      </c>
    </row>
    <row r="31" spans="1:12" s="29" customFormat="1" ht="17" thickTop="1">
      <c r="A31" s="1062" t="str">
        <f>Ongoing_Implementation!I2</f>
        <v xml:space="preserve">Milestone 6: Ongoing Implementation </v>
      </c>
      <c r="B31" s="1063"/>
      <c r="C31" s="29" t="s">
        <v>632</v>
      </c>
      <c r="D31" s="29" t="s">
        <v>634</v>
      </c>
      <c r="E31" s="29" t="s">
        <v>633</v>
      </c>
      <c r="F31" s="29" t="s">
        <v>636</v>
      </c>
      <c r="G31" s="447"/>
      <c r="H31" s="319"/>
      <c r="I31" s="447"/>
      <c r="J31" s="287"/>
      <c r="K31" s="390"/>
      <c r="L31" s="452"/>
    </row>
    <row r="32" spans="1:12">
      <c r="A32" s="395" t="str">
        <f>Ongoing_Implementation!J5</f>
        <v>Task 1</v>
      </c>
      <c r="B32" s="396" t="str">
        <f>"Milestone6-Task1:" &amp; " " &amp; Ongoing_Implementation!K5</f>
        <v xml:space="preserve">Milestone6-Task1: Develop work plan </v>
      </c>
      <c r="C32" s="400">
        <f>Ongoing_Implementation!AH7</f>
        <v>0</v>
      </c>
      <c r="D32" s="400">
        <f>Ongoing_Implementation!AL7</f>
        <v>2</v>
      </c>
      <c r="E32" s="400">
        <f t="shared" si="0"/>
        <v>1</v>
      </c>
      <c r="F32" s="64">
        <f t="shared" si="1"/>
        <v>0</v>
      </c>
      <c r="G32" s="456" t="str">
        <f>IF(F32=1,B32, " ")</f>
        <v xml:space="preserve"> </v>
      </c>
      <c r="H32" s="370" t="str">
        <f t="shared" si="2"/>
        <v xml:space="preserve">Milestone6-Task1: Develop work plan </v>
      </c>
      <c r="I32" s="448" t="str">
        <f>IF(F32=1,Feedback_List!F80, " ")</f>
        <v xml:space="preserve"> </v>
      </c>
      <c r="J32" s="372" t="str">
        <f>IF(F32=0,Feedback_List!E80, " ")</f>
        <v>• A dedicated ERP implementation budget ensures uninterrupted project completion, enables ROI tracking, and reduces implementation risks, while comprehensive timelines create clear milestones and facilitate cross-departmental coordination. Thorough risk assessment before implementation enables effective mitigation strategies, addresses adoption barriers, and supports contingency planning to minimize business disruption.</v>
      </c>
      <c r="K32" s="448" t="str">
        <f>IF(F32=1,Feedback_List!F116,"")</f>
        <v/>
      </c>
      <c r="L32" s="376" t="str">
        <f>IF(F32=0,Feedback_List!E116,"")</f>
        <v>•Develop a detailed work plan that clearly outlines how projects will be deployed across your organization. This should include specific timelines, responsibilities, resource requirements, and dependencies.</v>
      </c>
    </row>
    <row r="33" spans="1:12">
      <c r="A33" s="353" t="str">
        <f>Ongoing_Implementation!J25</f>
        <v>Task 2</v>
      </c>
      <c r="B33" s="62" t="str">
        <f>"Milestone6-Task2:" &amp; " " &amp; Ongoing_Implementation!K25</f>
        <v>Milestone6-Task2: Measure and verify GHG emissions reductions</v>
      </c>
      <c r="C33" s="400">
        <f>Ongoing_Implementation!AH27</f>
        <v>0</v>
      </c>
      <c r="D33" s="400">
        <f>Ongoing_Implementation!AL8</f>
        <v>1</v>
      </c>
      <c r="E33" s="400">
        <f t="shared" si="0"/>
        <v>0.5</v>
      </c>
      <c r="F33" s="64">
        <f t="shared" si="1"/>
        <v>0</v>
      </c>
      <c r="G33" s="320" t="str">
        <f>IF(F33=1,B33, " ")</f>
        <v xml:space="preserve"> </v>
      </c>
      <c r="H33" s="321"/>
      <c r="I33" s="329" t="str">
        <f>IF(F33=1, Feedback_List!F84, " ")</f>
        <v xml:space="preserve"> </v>
      </c>
      <c r="J33" s="62" t="str">
        <f>IF(F33=0, Feedback_List!E84, " ")</f>
        <v>• Measuring emission reductions in ERP systems enables accurate environmental impact tracking, regulatory compliance, credible sustainability reporting, enhanced stakeholder trust, and data-informed decision-making for future initiatives as environmental standards evolve.</v>
      </c>
      <c r="K33" s="329" t="str">
        <f>IF(F33=1,Feedback_List!F117,"")</f>
        <v/>
      </c>
      <c r="L33" s="257" t="str">
        <f>IF(F33=0,Feedback_List!E117,"")</f>
        <v>•Consider establishing a robust measurement and verification system to accurately track emission reductions achieved by each initiative, which would provide critical data on effectiveness and ROI.</v>
      </c>
    </row>
    <row r="34" spans="1:12">
      <c r="A34" s="353" t="str">
        <f>Ongoing_Implementation!J32</f>
        <v>Task 3</v>
      </c>
      <c r="B34" s="62" t="str">
        <f>"Milestone6-Task3:" &amp; " " &amp; Ongoing_Implementation!K32</f>
        <v>Milestone6-Task3: Document and share key learnings from project implementation</v>
      </c>
      <c r="C34" s="400">
        <f>Ongoing_Implementation!AH34</f>
        <v>0</v>
      </c>
      <c r="D34" s="400">
        <f>Ongoing_Implementation!AL9</f>
        <v>1</v>
      </c>
      <c r="E34" s="400">
        <f t="shared" si="0"/>
        <v>0.5</v>
      </c>
      <c r="F34" s="64">
        <f t="shared" si="1"/>
        <v>0</v>
      </c>
      <c r="G34" s="320" t="str">
        <f>IF(F34=1,B34, " ")</f>
        <v xml:space="preserve"> </v>
      </c>
      <c r="H34" s="321"/>
      <c r="I34" s="329" t="str">
        <f>IF(F34=1, Feedback_List!F86, " " )</f>
        <v xml:space="preserve"> </v>
      </c>
      <c r="J34" s="62" t="str">
        <f>IF(F34=0, Feedback_List!E86, " " )</f>
        <v>• Capturing and sharing key learnings from ERP implementations through structured knowledge management systems prevents repetition of past mistakes and preserves valuable institutional knowledge.</v>
      </c>
      <c r="K34" s="329" t="str">
        <f>IF(F34=1,Feedback_List!F118,"")</f>
        <v/>
      </c>
      <c r="L34" s="257" t="str">
        <f>IF(F34=0,Feedback_List!E118,"")</f>
        <v>•Create formal process to document and share key learnings from project implementation throughout your organization, helping to improve future projects and build institutional knowledge.</v>
      </c>
    </row>
    <row r="35" spans="1:12">
      <c r="A35" s="278" t="str">
        <f>Ongoing_Implementation!J40</f>
        <v>Task 4</v>
      </c>
      <c r="B35" s="368" t="str">
        <f>"Milestone6-Task4:" &amp; " " &amp; Ongoing_Implementation!K40</f>
        <v>Milestone6-Task4: Continuous evaluation of circumstances and revision of ERP</v>
      </c>
      <c r="C35" s="403">
        <f>Ongoing_Implementation!AH42</f>
        <v>0</v>
      </c>
      <c r="D35" s="403">
        <f>Ongoing_Implementation!AL10</f>
        <v>1</v>
      </c>
      <c r="E35" s="403">
        <f t="shared" si="0"/>
        <v>0.5</v>
      </c>
      <c r="F35" s="442">
        <f t="shared" si="1"/>
        <v>0</v>
      </c>
      <c r="G35" s="320" t="str">
        <f>IF(F35=1,B35, " ")</f>
        <v xml:space="preserve"> </v>
      </c>
      <c r="H35" s="371"/>
      <c r="I35" s="450" t="str">
        <f>IF(F35=1,Feedback_List!F88, " ")</f>
        <v xml:space="preserve"> </v>
      </c>
      <c r="J35" s="368" t="str">
        <f>IF(F35=0,Feedback_List!E88, " ")</f>
        <v>•Regular 2-4 year ERP system updates ensure alignment with evolving energy markets, incorporate emerging technologies and efficiency standards, prevent performance degradation, optimize resource allocation, reduce carbon footprint, and enhance adaptability to market disruptions.</v>
      </c>
      <c r="K35" s="450" t="str">
        <f>IF(F35=1,Feedback_List!F119,"")</f>
        <v/>
      </c>
      <c r="L35" s="377" t="str">
        <f>IF(F35=0,Feedback_List!E119,"")</f>
        <v>•Implement a continuous evaluation mechanism that would allow you to regularly assess whether changes or updates are needed to your emission reduction plan based on implementation experiences, new technologies, or changing business conditions.</v>
      </c>
    </row>
    <row r="36" spans="1:12" ht="17" thickBot="1">
      <c r="A36" s="1061" t="s">
        <v>596</v>
      </c>
      <c r="B36" s="1061"/>
      <c r="C36" s="290">
        <f>SUM(C32:C35)</f>
        <v>0</v>
      </c>
      <c r="D36" s="290">
        <f>SUM(D32:D35)</f>
        <v>5</v>
      </c>
      <c r="E36" s="290">
        <f>SUM(E32:E35)</f>
        <v>2.5</v>
      </c>
      <c r="F36" s="443"/>
      <c r="G36" s="388" t="str">
        <f t="shared" ref="G36:L36" si="7">_xlfn.TEXTJOIN(CHAR(10),TRUE,G32,G33,G34,G35)</f>
        <v xml:space="preserve"> 
 </v>
      </c>
      <c r="H36" s="388" t="str">
        <f t="shared" si="7"/>
        <v xml:space="preserve">Milestone6-Task1: Develop work plan </v>
      </c>
      <c r="I36" s="391" t="str">
        <f t="shared" si="7"/>
        <v xml:space="preserve"> 
 </v>
      </c>
      <c r="J36" s="431" t="str">
        <f t="shared" si="7"/>
        <v>• A dedicated ERP implementation budget ensures uninterrupted project completion, enables ROI tracking, and reduces implementation risks, while comprehensive timelines create clear milestones and facilitate cross-departmental coordination. Thorough risk assessment before implementation enables effective mitigation strategies, addresses adoption barriers, and supports contingency planning to minimize business disruption.
• Measuring emission reductions in ERP systems enables accurate environmental impact tracking, regulatory compliance, credible sustainability reporting, enhanced stakeholder trust, and data-informed decision-making for future initiatives as environmental standards evolve.
• Capturing and sharing key learnings from ERP implementations through structured knowledge management systems prevents repetition of past mistakes and preserves valuable institutional knowledge.
•Regular 2-4 year ERP system updates ensure alignment with evolving energy markets, incorporate emerging technologies and efficiency standards, prevent performance degradation, optimize resource allocation, reduce carbon footprint, and enhance adaptability to market disruptions.</v>
      </c>
      <c r="K36" s="390" t="str">
        <f t="shared" si="7"/>
        <v/>
      </c>
      <c r="L36" s="458" t="str">
        <f t="shared" si="7"/>
        <v>•Develop a detailed work plan that clearly outlines how projects will be deployed across your organization. This should include specific timelines, responsibilities, resource requirements, and dependencies.
•Consider establishing a robust measurement and verification system to accurately track emission reductions achieved by each initiative, which would provide critical data on effectiveness and ROI.
•Create formal process to document and share key learnings from project implementation throughout your organization, helping to improve future projects and build institutional knowledge.
•Implement a continuous evaluation mechanism that would allow you to regularly assess whether changes or updates are needed to your emission reduction plan based on implementation experiences, new technologies, or changing business conditions.</v>
      </c>
    </row>
    <row r="37" spans="1:12" ht="18" thickTop="1" thickBot="1">
      <c r="G37" s="320"/>
      <c r="H37" s="153"/>
      <c r="K37" s="320"/>
      <c r="L37" s="321"/>
    </row>
    <row r="38" spans="1:12">
      <c r="G38" s="393" t="s">
        <v>642</v>
      </c>
      <c r="H38" s="393" t="s">
        <v>641</v>
      </c>
      <c r="K38" s="445" t="s">
        <v>642</v>
      </c>
      <c r="L38" s="446" t="s">
        <v>641</v>
      </c>
    </row>
    <row r="39" spans="1:12" ht="409.6" thickBot="1">
      <c r="G39" s="440" t="str">
        <f>_xlfn.TEXTJOIN(CHAR(10),TRUE,G3:G6,G9:G12,G15,G16,G19:G23,G26:G29,G32:G35)</f>
        <v xml:space="preserve"> 
 </v>
      </c>
      <c r="H39" s="440" t="str">
        <f>_xlfn.TEXTJOIN(CHAR(10),TRUE,H3,H4,H10,H11,H15,H16,H19,H22,H26,H27,H28,H32)</f>
        <v xml:space="preserve">Milestone1-Task1: Identify and engage stakeholders 
Milestone1-Task2:  Establish a GHG inventory management plan
Milestone2-Task2: Identify and quantify GHG emissions for Significant Greenhouse Gas Emitters (SGEs) 
Milestone2-Task3: Benchmark Significant Greenhouse Gas Emitters (SGEs) 
Milestone3-Task1: Facility level GHG emissions reduction assessment planning
Milestone3-Task2: Portfolio level GHG emissions reduction assessment planning
Milestone4-Task1: Establish scenario parameters
Milestone4-Task4: Define scenarios
Milestone5-Task1: Assess scenarios and select pathway
Milestone5-Task2: Update organizational standards and procedures
Milestone5-Task3: Define financing and project deployment schedule
Milestone6-Task1: Develop work plan </v>
      </c>
      <c r="K39" s="453" t="str">
        <f>_xlfn.TEXTJOIN(CHAR(10),TRUE,K7,K13,K17,K24,K30,K36)</f>
        <v/>
      </c>
      <c r="L39" s="453" t="str">
        <f>_xlfn.TEXTJOIN(CHAR(10),TRUE,L7,L13,L17,L24,L30,L36)</f>
        <v>•Companies benefit from broader stakeholder engagement, including both internal teams (executives, finance, engineers) and external experts to ensure organizational alignment and bring specialized knowledge to your initiatives.
•Consider developing a more robust GHG inventory by establishing a Protocol-aligned accounting framework that thoroughly maps all entities and operations while implementing a centralized tracking system with regular reporting schedules.
•Set more ambitious emission reduction targets that could drive innovation while potentially reducing costs through optimized processes.
•A standardized assessment matrix would help prioritize projects based on reduction potential, costs, ROI, and strategic alignment, while considering valuable co-benefits beyond carbon reduction.
•Identifying key characteristics within your portfolio to establish clear prioritization criteria. This would help focus your resources on the most impactful initiatives first.
•Consider conducting a thorough assessment to identify significant systems and processes with high emissions, as targeting these areas would yield substantial reductions.
•Implementing benchmarking activities would allow you to compare your performance against industry best practices and standards, revealing important improvement opportunities and setting appropriate targets.
•Conduct thorough facility-level assessments to identify targeted project opportunities across your operations. These detailed evaluations would help pinpoint specific emissions sources and reduction possibilities unique to each location. We also suggest evaluating the infrastructure requirements needed to implement identified projects, which would improve implementation planning and resource allocation. Additionally, consider developing a more diverse mix of decarbonization pathways rather than relying on limited approaches. A balanced portfolio of strategies—potentially including energy efficiency, renewable energy adoption, process optimization, and emerging technologies would create greater flexibility and resilience in your emission reduction efforts. 
•Conduct a portfolio-level assessment to identify cross-functional energy efficiency opportunities and best practices that could be implemented across your operations. This enterprise-wide perspective would help uncover synergies and create knowledge-sharing that could significantly amplify your impact. Consider developing a corporate-wide renewable energy purchasing strategy, which could provide both environmental benefits and potential economies of scale. Additionally, your plan would benefit from dedicated strategies addressing mobile emissions sources (vehicles, equipment) and fugitive emissions (leaks, venting), which are important contributors often overlooked in reduction planning.
•Establish multiple scenarios that could affect your emission reduction efforts. Developing these alternative futures would create more resilient planning that accounts for uncertainties in technology, markets,cost and regulations, and other external factors. 
•Identify potential business portfolio changes—such as acquisitions, divestitures, or new product lines—could significantly impact your emissions profile.
•Once these scenarios and portfolio changes are outlined, evaluating their effects on your decarbonization trajectory would allow for more adaptive planning rather than a single rigid pathway. This scenario-based methodology would help future-proof your climate strategy, ensuring it remains relevant and effective despite changing business conditions.
•Conduct a thorough assessment of future scenarios to better understand potential challenges and opportunities. This analysis would help you develop a more adaptive plan capable of responding to changing conditions.
•Update your company standards around financing, governance, communication, and training to fully support implementation.
•Clearly define your financing strategy for the plan, including potential funding sources and investment criteria. Developing a detailed project deployment schedule with clear timelines, responsibilities, and dependencies would significantly improve execution.
•These enhancements would help secure stronger buy-in from stakeholders before officially releasing your decarbonization plan.
•Develop a detailed work plan that clearly outlines how projects will be deployed across your organization. This should include specific timelines, responsibilities, resource requirements, and dependencies.
•Consider establishing a robust measurement and verification system to accurately track emission reductions achieved by each initiative, which would provide critical data on effectiveness and ROI.
•Create formal process to document and share key learnings from project implementation throughout your organization, helping to improve future projects and build institutional knowledge.
•Implement a continuous evaluation mechanism that would allow you to regularly assess whether changes or updates are needed to your emission reduction plan based on implementation experiences, new technologies, or changing business conditions.</v>
      </c>
    </row>
  </sheetData>
  <mergeCells count="15">
    <mergeCell ref="I1:J1"/>
    <mergeCell ref="K1:L1"/>
    <mergeCell ref="A36:B36"/>
    <mergeCell ref="A31:B31"/>
    <mergeCell ref="A2:B2"/>
    <mergeCell ref="A25:B25"/>
    <mergeCell ref="A18:B18"/>
    <mergeCell ref="A14:B14"/>
    <mergeCell ref="A8:B8"/>
    <mergeCell ref="A7:B7"/>
    <mergeCell ref="A13:B13"/>
    <mergeCell ref="A17:B17"/>
    <mergeCell ref="A24:B24"/>
    <mergeCell ref="A30:B30"/>
    <mergeCell ref="G1:H1"/>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D628-FE20-438F-BBEA-031C48ACCEB5}">
  <sheetPr codeName="Sheet12" filterMode="1"/>
  <dimension ref="A1:H119"/>
  <sheetViews>
    <sheetView topLeftCell="A9" workbookViewId="0">
      <selection activeCell="B64" sqref="B64"/>
    </sheetView>
  </sheetViews>
  <sheetFormatPr baseColWidth="10" defaultColWidth="12.83203125" defaultRowHeight="13"/>
  <cols>
    <col min="1" max="1" width="68.1640625" style="299" customWidth="1"/>
    <col min="2" max="2" width="46.83203125" style="299" customWidth="1"/>
    <col min="3" max="3" width="29.1640625" style="299" customWidth="1"/>
    <col min="4" max="4" width="35.1640625" style="299" customWidth="1"/>
    <col min="5" max="5" width="63.6640625" style="299" bestFit="1" customWidth="1"/>
    <col min="6" max="6" width="51.83203125" style="299" customWidth="1"/>
    <col min="7" max="7" width="12.83203125" style="299"/>
    <col min="8" max="8" width="30.5" style="299" customWidth="1"/>
    <col min="9" max="16384" width="12.83203125" style="299"/>
  </cols>
  <sheetData>
    <row r="1" spans="1:6" s="297" customFormat="1" ht="14">
      <c r="A1" s="294"/>
      <c r="B1" s="295" t="s">
        <v>511</v>
      </c>
      <c r="C1" s="296" t="s">
        <v>512</v>
      </c>
      <c r="D1" s="296" t="s">
        <v>597</v>
      </c>
      <c r="E1" s="1066" t="s">
        <v>1067</v>
      </c>
      <c r="F1" s="1066"/>
    </row>
    <row r="2" spans="1:6" ht="85">
      <c r="A2" s="298" t="s">
        <v>513</v>
      </c>
      <c r="E2" s="294" t="s">
        <v>661</v>
      </c>
      <c r="F2" s="294" t="s">
        <v>1068</v>
      </c>
    </row>
    <row r="3" spans="1:6" ht="50" hidden="1" customHeight="1">
      <c r="A3" s="299" t="str">
        <f>Milestone_1!K9</f>
        <v>Please identify all internal stakeholders involved in developing and implementing the Emission Reduction Plan and how you are engaging with them? (Select all that apply)</v>
      </c>
      <c r="B3" s="300" t="s">
        <v>598</v>
      </c>
    </row>
    <row r="4" spans="1:6" ht="50" hidden="1" customHeight="1">
      <c r="A4" s="299" t="str">
        <f>Milestone_1!K25</f>
        <v>Please identify all external stakeholders involved in developing the Emission Reduction Plan? (Select all that apply)</v>
      </c>
      <c r="B4" s="300" t="s">
        <v>599</v>
      </c>
    </row>
    <row r="5" spans="1:6" ht="112">
      <c r="A5" s="298" t="s">
        <v>514</v>
      </c>
      <c r="E5" s="294" t="s">
        <v>662</v>
      </c>
      <c r="F5" s="294" t="s">
        <v>945</v>
      </c>
    </row>
    <row r="6" spans="1:6" ht="63" hidden="1" customHeight="1">
      <c r="A6" s="301" t="str">
        <f>Milestone_1!K45</f>
        <v>Which consolidation approach does your company use to consolidate your GHG inventory? (Select any one)</v>
      </c>
      <c r="B6" s="300" t="s">
        <v>685</v>
      </c>
      <c r="C6" s="302"/>
      <c r="D6" s="366" t="s">
        <v>600</v>
      </c>
    </row>
    <row r="7" spans="1:6" ht="51" hidden="1" customHeight="1">
      <c r="A7" s="301" t="str">
        <f>Milestone_1!K50</f>
        <v xml:space="preserve">Which emissions are included in your GHG inventory boundary? </v>
      </c>
      <c r="B7" s="300" t="s">
        <v>686</v>
      </c>
      <c r="C7" s="302"/>
      <c r="D7" s="303" t="s">
        <v>601</v>
      </c>
    </row>
    <row r="8" spans="1:6" ht="51" hidden="1" customHeight="1">
      <c r="A8" s="301" t="str">
        <f>Milestone_1!K88</f>
        <v>How do you maintain data quality and integrity in your GHG emissions tracking system (Select any one)</v>
      </c>
      <c r="B8" s="300" t="s">
        <v>687</v>
      </c>
      <c r="C8" s="300" t="s">
        <v>602</v>
      </c>
      <c r="D8" s="365"/>
    </row>
    <row r="9" spans="1:6" ht="210">
      <c r="A9" s="298" t="s">
        <v>515</v>
      </c>
      <c r="C9" s="294" t="s">
        <v>605</v>
      </c>
      <c r="E9" s="294" t="s">
        <v>663</v>
      </c>
      <c r="F9" s="294" t="s">
        <v>946</v>
      </c>
    </row>
    <row r="10" spans="1:6" ht="25" hidden="1" customHeight="1">
      <c r="A10" s="299" t="str">
        <f>Milestone_1!K96</f>
        <v>Do you have an ambitious (&gt;= 50% absolute Scope 1 and 2 emission reduction over 10 yrs) GHG emissions reduction target? (Select any one)</v>
      </c>
      <c r="B10" s="308" t="s">
        <v>605</v>
      </c>
    </row>
    <row r="11" spans="1:6" ht="28" hidden="1">
      <c r="A11" s="299" t="str">
        <f>Milestone_1!K106</f>
        <v>Do you have a near term (2030) or a long term (2040/2050) Net zero goal? (Select any one)</v>
      </c>
      <c r="B11" s="308"/>
      <c r="D11" s="306" t="s">
        <v>603</v>
      </c>
    </row>
    <row r="12" spans="1:6" ht="25" hidden="1" customHeight="1">
      <c r="A12" s="299" t="str">
        <f>Milestone_1!K112</f>
        <v>Do you have additional renewable energy procurement (RE100) goal? (Select any one)</v>
      </c>
      <c r="B12" s="308"/>
      <c r="D12" s="306" t="s">
        <v>604</v>
      </c>
    </row>
    <row r="13" spans="1:6" ht="25" hidden="1" customHeight="1">
      <c r="A13" s="299" t="str">
        <f>Milestone_1!K117</f>
        <v xml:space="preserve">Do you have other strategic goals? (Eg: Energy-intensity target or Scope 3 reductions) (Type in your answer) </v>
      </c>
    </row>
    <row r="14" spans="1:6" ht="126">
      <c r="A14" s="298" t="s">
        <v>516</v>
      </c>
      <c r="E14" s="294" t="s">
        <v>664</v>
      </c>
    </row>
    <row r="15" spans="1:6" ht="112.5" hidden="1" customHeight="1">
      <c r="A15" s="299" t="str">
        <f>Milestone_1!K124</f>
        <v>How do you evaluate and prioritize GHG emissions reduction projects across your operations? (Select any one)</v>
      </c>
      <c r="B15" s="304" t="s">
        <v>688</v>
      </c>
      <c r="C15" s="305" t="s">
        <v>606</v>
      </c>
    </row>
    <row r="16" spans="1:6" ht="50" hidden="1" customHeight="1">
      <c r="A16" s="299" t="str">
        <f>Milestone_1!K130</f>
        <v>Beyond emission reductions, what additional co-benefits have you identified for the proposed projects in the Emission Reduction Plan? (Select all that apply)</v>
      </c>
      <c r="B16" s="300" t="s">
        <v>689</v>
      </c>
    </row>
    <row r="17" spans="1:6" ht="84">
      <c r="A17" s="298" t="s">
        <v>517</v>
      </c>
      <c r="E17" s="294" t="s">
        <v>690</v>
      </c>
      <c r="F17" s="294" t="s">
        <v>947</v>
      </c>
    </row>
    <row r="18" spans="1:6" ht="50" hidden="1" customHeight="1">
      <c r="A18" s="299" t="str">
        <f>Milestone_2!K7</f>
        <v>What characteristics of your facilities and processes do you capture across your operations to identify high-impact initiatives? (Select all that apply)</v>
      </c>
      <c r="B18" s="300" t="s">
        <v>609</v>
      </c>
      <c r="C18" s="302"/>
      <c r="D18" s="302"/>
    </row>
    <row r="19" spans="1:6" ht="98">
      <c r="A19" s="298" t="s">
        <v>518</v>
      </c>
      <c r="E19" s="294" t="s">
        <v>665</v>
      </c>
      <c r="F19" s="294" t="s">
        <v>948</v>
      </c>
    </row>
    <row r="20" spans="1:6" ht="75.5" hidden="1" customHeight="1">
      <c r="A20" s="299" t="str">
        <f>Milestone_2!K21</f>
        <v>How have you identified and quantified your significant GHG emitters (SGEs)? (Select any one)</v>
      </c>
      <c r="B20" s="300" t="s">
        <v>691</v>
      </c>
      <c r="C20" s="302"/>
      <c r="D20" s="302"/>
    </row>
    <row r="21" spans="1:6" ht="112">
      <c r="A21" s="298" t="s">
        <v>519</v>
      </c>
      <c r="E21" s="294" t="s">
        <v>666</v>
      </c>
      <c r="F21" s="294" t="s">
        <v>949</v>
      </c>
    </row>
    <row r="22" spans="1:6" ht="50" hidden="1" customHeight="1">
      <c r="A22" s="299" t="str">
        <f>Milestone_2!K28</f>
        <v>Do you benchmark facility/system performance internally or with other industry? (Select any one)</v>
      </c>
      <c r="B22" s="300" t="s">
        <v>610</v>
      </c>
      <c r="C22" s="302"/>
      <c r="D22" s="302"/>
    </row>
    <row r="23" spans="1:6" ht="306" hidden="1">
      <c r="A23" s="307" t="str">
        <f>Milestone_2!K33</f>
        <v>Does your organization have documented energy management protocols and operational standards? (Select any one)</v>
      </c>
      <c r="B23" s="351" t="s">
        <v>631</v>
      </c>
      <c r="C23" s="307"/>
      <c r="D23" s="307"/>
      <c r="E23" s="307"/>
    </row>
    <row r="24" spans="1:6" ht="42">
      <c r="A24" s="298" t="s">
        <v>520</v>
      </c>
      <c r="E24" s="294" t="s">
        <v>667</v>
      </c>
    </row>
    <row r="25" spans="1:6" ht="196" hidden="1">
      <c r="A25" s="299" t="str">
        <f>Milestone_2!K40</f>
        <v>How are SGEs prioritized for further analysis? (Type in your answer) {Please rank the following from 1 (highest priority) to 4 (lowest priority)}</v>
      </c>
      <c r="B25" s="300" t="s">
        <v>657</v>
      </c>
      <c r="C25" s="300" t="s">
        <v>611</v>
      </c>
      <c r="D25" s="302"/>
    </row>
    <row r="26" spans="1:6" ht="28" hidden="1">
      <c r="A26" s="307" t="str">
        <f>Milestone_2!K46</f>
        <v>Please list any SGEs you have not found alternative low-carbon technologies for? (Type in your answer)</v>
      </c>
      <c r="B26" s="307"/>
      <c r="C26" s="307"/>
      <c r="D26" s="307"/>
      <c r="E26" s="307"/>
    </row>
    <row r="27" spans="1:6" ht="162.5" customHeight="1">
      <c r="A27" s="298" t="s">
        <v>536</v>
      </c>
      <c r="E27" s="294" t="s">
        <v>668</v>
      </c>
      <c r="F27" s="288" t="s">
        <v>950</v>
      </c>
    </row>
    <row r="28" spans="1:6" ht="182" hidden="1">
      <c r="A28" s="299" t="str">
        <f>Milestone_3!K7</f>
        <v>Have you evaluated your sites for energy efficiency opportunities?  (Select any one)</v>
      </c>
      <c r="B28" s="300" t="s">
        <v>692</v>
      </c>
      <c r="C28" s="300" t="s">
        <v>521</v>
      </c>
    </row>
    <row r="29" spans="1:6" ht="196" hidden="1">
      <c r="A29" s="299" t="str">
        <f>Milestone_3!K12</f>
        <v>Have you evaluated your sites for electrification opportunities?  (Select any one)</v>
      </c>
      <c r="B29" s="300" t="s">
        <v>693</v>
      </c>
      <c r="C29" s="300" t="s">
        <v>522</v>
      </c>
    </row>
    <row r="30" spans="1:6" ht="98" hidden="1">
      <c r="A30" s="299" t="str">
        <f>Milestone_3!K17</f>
        <v>Does your assessment process consider planned renewable energy purchases and/or greening of the grid impact on Scope 2 emissions factors, when evaluating potential electrification ERMs? (Select any one)</v>
      </c>
      <c r="B30" s="300" t="s">
        <v>523</v>
      </c>
    </row>
    <row r="31" spans="1:6" ht="140" hidden="1">
      <c r="A31" s="299" t="str">
        <f>Milestone_3!K22</f>
        <v>Have you assessed capacity and infrastructure upgrade needed for electrification ERMs? (Select any one)</v>
      </c>
      <c r="B31" s="300" t="s">
        <v>694</v>
      </c>
    </row>
    <row r="32" spans="1:6" ht="196" hidden="1">
      <c r="A32" s="299" t="str">
        <f>Milestone_3!K27</f>
        <v>Have you evaluated your sites for low-carbon fuel switching opportunities? (Select any one)</v>
      </c>
      <c r="B32" s="300" t="s">
        <v>695</v>
      </c>
      <c r="C32" s="300" t="s">
        <v>524</v>
      </c>
    </row>
    <row r="33" spans="1:6" ht="112" hidden="1">
      <c r="A33" s="299" t="str">
        <f>Milestone_3!K32</f>
        <v>Have you assessed capacity and infrastructure upgrade needed for low-carbon fuel switching ERMs? (Select any one)</v>
      </c>
      <c r="B33" s="300" t="s">
        <v>696</v>
      </c>
    </row>
    <row r="34" spans="1:6" ht="346" hidden="1">
      <c r="A34" s="299" t="str">
        <f>Milestone_3!K37</f>
        <v>Have you identified vendors or third-party provider who can provide low carbon fuel over the lifetime of the ERMs? (Select any one)</v>
      </c>
      <c r="B34" s="300" t="s">
        <v>1080</v>
      </c>
      <c r="C34" s="300" t="s">
        <v>525</v>
      </c>
    </row>
    <row r="35" spans="1:6" ht="196" hidden="1">
      <c r="A35" s="299" t="str">
        <f>Milestone_3!K42</f>
        <v>Have you evaluated your sites for on-site implementation of renewables? (Select any one)</v>
      </c>
      <c r="B35" s="300" t="s">
        <v>697</v>
      </c>
      <c r="C35" s="300" t="s">
        <v>526</v>
      </c>
    </row>
    <row r="36" spans="1:6" ht="224" hidden="1">
      <c r="A36" s="299" t="str">
        <f>Milestone_3!K47</f>
        <v>Are you considering carbon capture utilization and sequestration as an important technology to meet your long-term sustainability goal? (Select any one)</v>
      </c>
      <c r="B36" s="300" t="s">
        <v>1081</v>
      </c>
      <c r="C36" s="300" t="s">
        <v>527</v>
      </c>
    </row>
    <row r="37" spans="1:6" ht="98" hidden="1">
      <c r="A37" s="299" t="str">
        <f>Milestone_3!K52</f>
        <v>Has your company included an evaluation of any significant fugitive and process related ERMs in an assessment for greenhouse gas (GHG) reduction opportunities? (Select any one)</v>
      </c>
      <c r="B37" s="300" t="s">
        <v>528</v>
      </c>
    </row>
    <row r="38" spans="1:6" ht="154" hidden="1">
      <c r="A38" s="299" t="str">
        <f>Milestone_3!K57</f>
        <v>Has your company identified alternative technologies or system upgrades to reduce carbon emissions from all SGEs within all the facilities?  (Select any one)</v>
      </c>
      <c r="B38" s="308" t="s">
        <v>698</v>
      </c>
      <c r="C38" s="308" t="s">
        <v>529</v>
      </c>
    </row>
    <row r="39" spans="1:6" ht="37.5" hidden="1" customHeight="1">
      <c r="A39" s="307" t="s">
        <v>530</v>
      </c>
      <c r="B39" s="307"/>
      <c r="C39" s="307"/>
    </row>
    <row r="40" spans="1:6" ht="224">
      <c r="A40" s="298" t="s">
        <v>531</v>
      </c>
      <c r="E40" s="288" t="s">
        <v>669</v>
      </c>
      <c r="F40" s="288" t="s">
        <v>951</v>
      </c>
    </row>
    <row r="41" spans="1:6" ht="210" hidden="1">
      <c r="A41" s="299" t="str">
        <f>Milestone_3!K73</f>
        <v>How does your company approach the implementation of energy efficiency measures and operational efficiency (industry best practices) across facilities? (Select any one)</v>
      </c>
      <c r="B41" s="300" t="s">
        <v>1082</v>
      </c>
      <c r="C41" s="300" t="s">
        <v>532</v>
      </c>
    </row>
    <row r="42" spans="1:6" ht="154" hidden="1">
      <c r="A42" s="299" t="str">
        <f>Milestone_3!K80</f>
        <v>Do you have a corporate wide strategy for procuring renewable energy? (Select any one)</v>
      </c>
      <c r="B42" s="300" t="s">
        <v>658</v>
      </c>
      <c r="C42" s="300" t="s">
        <v>533</v>
      </c>
    </row>
    <row r="43" spans="1:6" ht="28" hidden="1">
      <c r="A43" s="309" t="str">
        <f>Milestone_3!K85</f>
        <v>Please specify what percentage of your company's total energy needs do you plan to meet through renewable energy procurement (Type in answer)</v>
      </c>
      <c r="B43" s="309"/>
      <c r="C43" s="309"/>
    </row>
    <row r="44" spans="1:6" ht="56" hidden="1">
      <c r="A44" s="299" t="str">
        <f>Milestone_3!K90</f>
        <v>What strategies has your company implemented or planned for reducing mobile emissions through vehicle asset purchases (select all that apply)</v>
      </c>
      <c r="B44" s="300" t="s">
        <v>534</v>
      </c>
    </row>
    <row r="45" spans="1:6" ht="84" hidden="1">
      <c r="A45" s="299" t="str">
        <f>Milestone_3!K99</f>
        <v>What additional projects is your company considering in the development of your Emissions Reduction Plan? (Select all that apply)</v>
      </c>
      <c r="B45" s="300" t="s">
        <v>535</v>
      </c>
    </row>
    <row r="46" spans="1:6" ht="266" hidden="1">
      <c r="A46" s="299" t="str">
        <f>Milestone_3!K106</f>
        <v>How does your company plan to evaluate low-carbon technology alternatives for your major emission sources?  (Select all that apply)</v>
      </c>
      <c r="B46" s="300" t="s">
        <v>699</v>
      </c>
      <c r="C46" s="300" t="s">
        <v>700</v>
      </c>
    </row>
    <row r="47" spans="1:6" ht="175" customHeight="1">
      <c r="A47" s="298" t="s">
        <v>537</v>
      </c>
      <c r="E47" s="294" t="s">
        <v>670</v>
      </c>
      <c r="F47" s="299" t="s">
        <v>963</v>
      </c>
    </row>
    <row r="48" spans="1:6" ht="332" hidden="1">
      <c r="A48" s="299" t="str">
        <f>Milestone_4!K7</f>
        <v>To reach your decarbonization goals, which scenarios do you believe will be most effective for your organization (High- 45-60 %, Med- 20-40 %, Low- 5-15 % of goal)? (Select all that apply for each scenario)</v>
      </c>
      <c r="B48" s="300" t="s">
        <v>701</v>
      </c>
    </row>
    <row r="49" spans="1:6" ht="409.6" hidden="1">
      <c r="A49" s="299" t="str">
        <f>Milestone_4!K19</f>
        <v>Which parameters do you anticipate will affect your selected decarbonization scenario to ensure successful energy roadmap planning and implementation?  (Select all that apply)</v>
      </c>
      <c r="B49" s="300" t="s">
        <v>702</v>
      </c>
    </row>
    <row r="50" spans="1:6" ht="100" customHeight="1">
      <c r="A50" s="298" t="s">
        <v>538</v>
      </c>
      <c r="E50" s="294" t="s">
        <v>671</v>
      </c>
      <c r="F50" s="299" t="s">
        <v>964</v>
      </c>
    </row>
    <row r="51" spans="1:6" ht="409.6" hidden="1">
      <c r="A51" s="299" t="str">
        <f>Milestone_4!K28</f>
        <v>Which business parameters are accounted for in your emission reduction scenario(s)? (Select all that apply)</v>
      </c>
      <c r="B51" s="300" t="s">
        <v>703</v>
      </c>
    </row>
    <row r="52" spans="1:6" ht="137.5" customHeight="1">
      <c r="A52" s="298" t="s">
        <v>619</v>
      </c>
      <c r="B52" s="300"/>
      <c r="E52" s="294" t="s">
        <v>672</v>
      </c>
      <c r="F52" s="299" t="s">
        <v>966</v>
      </c>
    </row>
    <row r="53" spans="1:6" ht="358" hidden="1">
      <c r="A53" s="301" t="str">
        <f>Milestone_4!K38</f>
        <v>Which of the following data have you collected on your ERMs identified in facility- and portfolio-level assessments?  (Select all that apply)</v>
      </c>
      <c r="B53" s="300" t="s">
        <v>726</v>
      </c>
    </row>
    <row r="54" spans="1:6" ht="237.5" customHeight="1">
      <c r="A54" s="298" t="s">
        <v>623</v>
      </c>
      <c r="B54" s="300"/>
      <c r="E54" s="294" t="s">
        <v>673</v>
      </c>
      <c r="F54" s="299" t="s">
        <v>967</v>
      </c>
    </row>
    <row r="55" spans="1:6" ht="332" hidden="1">
      <c r="A55" s="299" t="str">
        <f>Milestone_4!K49</f>
        <v>Which of the cost parameters are accounted for in your emission reduction scenario(s) for developing an effective ERP? (Select all that apply)</v>
      </c>
      <c r="B55" s="300" t="s">
        <v>620</v>
      </c>
    </row>
    <row r="56" spans="1:6" ht="409.6" hidden="1">
      <c r="A56" s="299" t="str">
        <f>Milestone_4!K58</f>
        <v>Which of the financing scenarios you are evaluating to fund your ERMs for your ERP? (Select all that apply)</v>
      </c>
      <c r="B56" s="300" t="s">
        <v>727</v>
      </c>
    </row>
    <row r="57" spans="1:6" ht="409.6" hidden="1">
      <c r="A57" s="299" t="str">
        <f>Milestone_4!K65</f>
        <v>When evaluating technologies, based on ERMs for your ERP, select all the key considerations you make for emissions reduction scenarios? (Select all that apply)</v>
      </c>
      <c r="B57" s="300" t="s">
        <v>728</v>
      </c>
    </row>
    <row r="58" spans="1:6" ht="87.5" customHeight="1">
      <c r="A58" s="298" t="s">
        <v>621</v>
      </c>
      <c r="B58" s="300"/>
      <c r="E58" s="294" t="s">
        <v>674</v>
      </c>
      <c r="F58" s="299" t="s">
        <v>965</v>
      </c>
    </row>
    <row r="59" spans="1:6" ht="168" hidden="1">
      <c r="A59" s="299" t="str">
        <f>Milestone_4!K75</f>
        <v>Which statement best describes your evaluation of scenarios? (Select any one)</v>
      </c>
      <c r="B59" s="300" t="s">
        <v>622</v>
      </c>
      <c r="C59" s="302"/>
      <c r="D59" s="302"/>
    </row>
    <row r="60" spans="1:6" ht="319" hidden="1">
      <c r="A60" s="299" t="str">
        <f>Milestone_4!K78</f>
        <v>Which of the following interactions between different emission reduction measures in your deployment schedule are considered in your scenarios? (Select all that apply)</v>
      </c>
      <c r="B60" s="300" t="s">
        <v>704</v>
      </c>
      <c r="C60" s="302"/>
      <c r="D60" s="302"/>
    </row>
    <row r="61" spans="1:6" ht="125" customHeight="1">
      <c r="A61" s="298" t="s">
        <v>539</v>
      </c>
      <c r="B61" s="288"/>
      <c r="C61" s="310"/>
      <c r="D61" s="310"/>
      <c r="E61" s="294" t="s">
        <v>705</v>
      </c>
      <c r="F61" s="299" t="s">
        <v>968</v>
      </c>
    </row>
    <row r="62" spans="1:6" ht="62.5" hidden="1" customHeight="1">
      <c r="A62" s="299" t="str">
        <f>Milestone_5!K7</f>
        <v>Has your company developed a comprehensive inventory of emissions reduction measures (ERMs) at both facility and portfolio levels, and completed scenario analysis to validate their contribution toward your decarbonization targets? (Select any one)</v>
      </c>
      <c r="B62" s="311" t="s">
        <v>706</v>
      </c>
      <c r="C62" s="310"/>
      <c r="D62" s="310"/>
      <c r="E62" s="310"/>
    </row>
    <row r="63" spans="1:6" ht="12.5" hidden="1" customHeight="1">
      <c r="A63" s="312" t="str">
        <f>Milestone_5!K12</f>
        <v xml:space="preserve">Please describe your approach to project phasing and deployment timing for your emission reduction initiatives (Type in % reduction of set goal) &amp; (Choose year from dropdown list)  </v>
      </c>
      <c r="B63" s="312"/>
      <c r="C63" s="312"/>
      <c r="D63" s="312"/>
      <c r="E63" s="312"/>
    </row>
    <row r="64" spans="1:6" ht="200" customHeight="1">
      <c r="A64" s="298" t="s">
        <v>540</v>
      </c>
      <c r="B64" s="313"/>
      <c r="C64" s="310"/>
      <c r="D64" s="310"/>
      <c r="E64" s="294" t="s">
        <v>675</v>
      </c>
      <c r="F64" s="299" t="s">
        <v>969</v>
      </c>
    </row>
    <row r="65" spans="1:6" ht="25" hidden="1" customHeight="1">
      <c r="A65" s="314" t="str">
        <f>Milestone_5!K26</f>
        <v>Select all the organizational policies that are being updates for developing an effective Emissions Reduction Plan? (Select all that apply)</v>
      </c>
      <c r="B65" s="314"/>
      <c r="C65" s="312"/>
      <c r="D65" s="312"/>
      <c r="E65" s="312"/>
    </row>
    <row r="66" spans="1:6" ht="409.6" hidden="1">
      <c r="A66" s="299" t="str">
        <f>Milestone_5!K34</f>
        <v>What types of updates have been made to governance standards and procedures? (Select all that apply)</v>
      </c>
      <c r="B66" s="308" t="s">
        <v>707</v>
      </c>
      <c r="C66" s="310"/>
      <c r="D66" s="310"/>
      <c r="E66" s="310"/>
    </row>
    <row r="67" spans="1:6" ht="225" hidden="1" customHeight="1">
      <c r="A67" s="299" t="str">
        <f>Milestone_5!K41</f>
        <v>What types of updates have been made to operations and maintenance standards and procedures? (Select all that apply)</v>
      </c>
      <c r="B67" s="308" t="s">
        <v>708</v>
      </c>
      <c r="C67" s="310"/>
      <c r="D67" s="310"/>
      <c r="E67" s="310"/>
    </row>
    <row r="68" spans="1:6" ht="162.5" hidden="1" customHeight="1">
      <c r="A68" s="299" t="str">
        <f>Milestone_5!K48</f>
        <v xml:space="preserve">What types of updates have been made to project evaluation standards and procedures? (Select all that apply) </v>
      </c>
      <c r="B68" s="308" t="s">
        <v>709</v>
      </c>
      <c r="C68" s="310"/>
      <c r="D68" s="310"/>
      <c r="E68" s="310"/>
    </row>
    <row r="69" spans="1:6" ht="397" hidden="1">
      <c r="A69" s="299" t="str">
        <f>Milestone_5!K56</f>
        <v>What types of updates have been made to training program standards and procedures?  (Select all that apply)</v>
      </c>
      <c r="B69" s="308" t="s">
        <v>710</v>
      </c>
      <c r="C69" s="310"/>
      <c r="D69" s="310"/>
      <c r="E69" s="310"/>
    </row>
    <row r="70" spans="1:6" ht="409.6" hidden="1">
      <c r="A70" s="299" t="str">
        <f>Milestone_5!K63</f>
        <v>What types of updates have been made to procurement practices?  (Select all that apply)</v>
      </c>
      <c r="B70" s="311" t="s">
        <v>711</v>
      </c>
      <c r="C70" s="310"/>
      <c r="D70" s="310"/>
      <c r="E70" s="310"/>
    </row>
    <row r="71" spans="1:6" ht="409.6" hidden="1">
      <c r="A71" s="299" t="str">
        <f>Milestone_5!K70</f>
        <v>What types of updates have been made to financing practices?  (Select all that apply)</v>
      </c>
      <c r="B71" s="311" t="s">
        <v>712</v>
      </c>
      <c r="C71" s="310"/>
      <c r="D71" s="310"/>
      <c r="E71" s="310"/>
    </row>
    <row r="72" spans="1:6" ht="345" hidden="1">
      <c r="A72" s="299" t="str">
        <f>Milestone_5!K77</f>
        <v>What types of updates have been made to communications standards and procedures?   (Select all that apply)</v>
      </c>
      <c r="B72" s="311" t="s">
        <v>713</v>
      </c>
      <c r="C72" s="310"/>
      <c r="D72" s="310"/>
      <c r="E72" s="310"/>
    </row>
    <row r="73" spans="1:6" ht="154">
      <c r="A73" s="298" t="s">
        <v>541</v>
      </c>
      <c r="B73" s="288"/>
      <c r="C73" s="310"/>
      <c r="D73" s="310"/>
      <c r="E73" s="294" t="s">
        <v>676</v>
      </c>
      <c r="F73" s="299" t="s">
        <v>970</v>
      </c>
    </row>
    <row r="74" spans="1:6" ht="252" hidden="1">
      <c r="A74" s="299" t="str">
        <f>Milestone_5!K86</f>
        <v>Which financing mechanisms are being considered to fund ERMs?  (Select all that apply)</v>
      </c>
      <c r="B74" s="311" t="s">
        <v>714</v>
      </c>
      <c r="C74" s="310"/>
      <c r="D74" s="310"/>
      <c r="E74" s="310"/>
    </row>
    <row r="75" spans="1:6" ht="358" hidden="1">
      <c r="A75" s="299" t="str">
        <f>Milestone_5!K97</f>
        <v>Which approach does your organization use to prioritize and build business cases for  ERMs?   (Select all that apply)</v>
      </c>
      <c r="B75" s="311" t="s">
        <v>649</v>
      </c>
      <c r="C75" s="310"/>
      <c r="D75" s="310"/>
      <c r="E75" s="310"/>
    </row>
    <row r="76" spans="1:6" ht="371" hidden="1">
      <c r="A76" s="299" t="str">
        <f>Milestone_5!K104</f>
        <v>When thinking about project deployment schedules, which of the following are considered?  (Select all that apply)</v>
      </c>
      <c r="B76" s="311" t="s">
        <v>650</v>
      </c>
      <c r="C76" s="310"/>
      <c r="D76" s="310"/>
      <c r="E76" s="310"/>
    </row>
    <row r="77" spans="1:6" ht="140">
      <c r="A77" s="298" t="s">
        <v>542</v>
      </c>
      <c r="B77" s="288"/>
      <c r="C77" s="310"/>
      <c r="D77" s="310"/>
      <c r="E77" s="294" t="s">
        <v>677</v>
      </c>
      <c r="F77" s="299" t="s">
        <v>971</v>
      </c>
    </row>
    <row r="78" spans="1:6" ht="266" hidden="1">
      <c r="A78" s="299" t="str">
        <f>Milestone_5!K115</f>
        <v>How have you achieved stakeholder buy-in? (Select any one)</v>
      </c>
      <c r="B78" s="308" t="s">
        <v>729</v>
      </c>
      <c r="C78" s="311" t="s">
        <v>651</v>
      </c>
      <c r="D78" s="310"/>
      <c r="E78" s="310"/>
    </row>
    <row r="79" spans="1:6" ht="182" hidden="1">
      <c r="A79" s="299" t="str">
        <f>Milestone_5!K120</f>
        <v>How have you communicated your ERP to internal and external stakeholders?  (Select any one)</v>
      </c>
      <c r="B79" s="311" t="s">
        <v>652</v>
      </c>
      <c r="C79" s="310"/>
      <c r="D79" s="310"/>
      <c r="E79" s="310"/>
    </row>
    <row r="80" spans="1:6" ht="126">
      <c r="A80" s="298" t="s">
        <v>543</v>
      </c>
      <c r="E80" s="294" t="s">
        <v>678</v>
      </c>
      <c r="F80" s="299" t="s">
        <v>972</v>
      </c>
    </row>
    <row r="81" spans="1:8" ht="37.5" hidden="1" customHeight="1">
      <c r="A81" s="299" t="str">
        <f>Ongoing_Implementation!K7</f>
        <v>Do you have budget and resources allocated for implementation of your ERP? (Select any one)</v>
      </c>
      <c r="B81" s="300" t="s">
        <v>715</v>
      </c>
      <c r="C81" s="302"/>
      <c r="D81" s="302"/>
    </row>
    <row r="82" spans="1:8" ht="37.5" hidden="1" customHeight="1">
      <c r="A82" s="299" t="str">
        <f>Ongoing_Implementation!K13</f>
        <v>Do you have set timelines for project implementation for your ERP? (Select any one)</v>
      </c>
      <c r="B82" s="300" t="s">
        <v>615</v>
      </c>
      <c r="C82" s="302"/>
      <c r="D82" s="302"/>
    </row>
    <row r="83" spans="1:8" ht="37.5" hidden="1" customHeight="1">
      <c r="A83" s="299" t="str">
        <f>Ongoing_Implementation!K20</f>
        <v>Have you identified potential challenges for during implementation of your ERMs? (Select any one)</v>
      </c>
      <c r="B83" s="300" t="s">
        <v>716</v>
      </c>
      <c r="C83" s="302"/>
      <c r="D83" s="302"/>
    </row>
    <row r="84" spans="1:8" ht="50" customHeight="1">
      <c r="A84" s="298" t="s">
        <v>544</v>
      </c>
      <c r="B84" s="300"/>
      <c r="E84" s="294" t="s">
        <v>679</v>
      </c>
      <c r="F84" s="299" t="s">
        <v>973</v>
      </c>
    </row>
    <row r="85" spans="1:8" ht="140" hidden="1">
      <c r="A85" s="299" t="str">
        <f>Ongoing_Implementation!K27</f>
        <v>How are you measuring and verifying emission reduction for ERPs? (Select any one)</v>
      </c>
      <c r="B85" s="300" t="s">
        <v>616</v>
      </c>
      <c r="C85" s="302"/>
      <c r="D85" s="302"/>
    </row>
    <row r="86" spans="1:8" ht="37.5" customHeight="1">
      <c r="A86" s="298" t="s">
        <v>545</v>
      </c>
      <c r="B86" s="300"/>
      <c r="E86" s="294" t="s">
        <v>680</v>
      </c>
      <c r="F86" s="299" t="s">
        <v>974</v>
      </c>
    </row>
    <row r="87" spans="1:8" ht="56" hidden="1">
      <c r="A87" s="299" t="str">
        <f>Ongoing_Implementation!K34</f>
        <v>How does your organization capture, document, and share key learnings from ERP projects implementation? (Select any one)</v>
      </c>
      <c r="B87" s="300" t="s">
        <v>617</v>
      </c>
      <c r="C87" s="302"/>
      <c r="D87" s="302"/>
    </row>
    <row r="88" spans="1:8" ht="50" customHeight="1">
      <c r="A88" s="298" t="s">
        <v>546</v>
      </c>
      <c r="B88" s="300"/>
      <c r="E88" s="294" t="s">
        <v>1006</v>
      </c>
      <c r="F88" s="299" t="s">
        <v>975</v>
      </c>
    </row>
    <row r="89" spans="1:8" ht="140" hidden="1">
      <c r="A89" s="299" t="str">
        <f>Ongoing_Implementation!K42</f>
        <v>How frequently will you review and update your implementation plans? (Select any one)</v>
      </c>
      <c r="B89" s="300" t="s">
        <v>618</v>
      </c>
      <c r="C89" s="302"/>
      <c r="D89" s="302"/>
    </row>
    <row r="91" spans="1:8" ht="17">
      <c r="A91" s="425" t="s">
        <v>14</v>
      </c>
      <c r="E91" s="299" t="s">
        <v>977</v>
      </c>
      <c r="F91" s="299" t="s">
        <v>976</v>
      </c>
    </row>
    <row r="92" spans="1:8" ht="42">
      <c r="A92" s="424" t="s">
        <v>978</v>
      </c>
      <c r="E92" s="299" t="s">
        <v>1007</v>
      </c>
      <c r="F92" s="299" t="s">
        <v>1040</v>
      </c>
      <c r="H92" s="299" t="s">
        <v>979</v>
      </c>
    </row>
    <row r="93" spans="1:8" ht="56">
      <c r="A93" s="424" t="s">
        <v>980</v>
      </c>
      <c r="E93" s="299" t="s">
        <v>1008</v>
      </c>
      <c r="F93" s="299" t="s">
        <v>1041</v>
      </c>
      <c r="H93" s="299" t="s">
        <v>981</v>
      </c>
    </row>
    <row r="94" spans="1:8" ht="28">
      <c r="A94" s="424" t="s">
        <v>982</v>
      </c>
      <c r="E94" s="299" t="s">
        <v>1009</v>
      </c>
      <c r="F94" s="299" t="s">
        <v>1042</v>
      </c>
    </row>
    <row r="95" spans="1:8" ht="42">
      <c r="A95" s="424" t="s">
        <v>983</v>
      </c>
      <c r="E95" s="299" t="s">
        <v>1010</v>
      </c>
      <c r="F95" s="299" t="s">
        <v>1043</v>
      </c>
    </row>
    <row r="96" spans="1:8" ht="17">
      <c r="A96" s="425" t="s">
        <v>54</v>
      </c>
    </row>
    <row r="97" spans="1:6" ht="42">
      <c r="A97" s="424" t="s">
        <v>984</v>
      </c>
      <c r="E97" s="299" t="s">
        <v>1011</v>
      </c>
      <c r="F97" s="299" t="s">
        <v>1044</v>
      </c>
    </row>
    <row r="98" spans="1:6" ht="42">
      <c r="A98" s="424" t="s">
        <v>985</v>
      </c>
      <c r="E98" s="299" t="s">
        <v>1012</v>
      </c>
      <c r="F98" s="299" t="s">
        <v>1045</v>
      </c>
    </row>
    <row r="99" spans="1:6" ht="56">
      <c r="A99" s="424" t="s">
        <v>986</v>
      </c>
      <c r="E99" s="299" t="s">
        <v>1013</v>
      </c>
      <c r="F99" s="299" t="s">
        <v>1046</v>
      </c>
    </row>
    <row r="100" spans="1:6" ht="14">
      <c r="A100" s="424" t="s">
        <v>987</v>
      </c>
    </row>
    <row r="101" spans="1:6" ht="17">
      <c r="A101" s="425" t="s">
        <v>988</v>
      </c>
    </row>
    <row r="102" spans="1:6" ht="140">
      <c r="A102" s="424" t="s">
        <v>989</v>
      </c>
      <c r="E102" s="299" t="s">
        <v>1039</v>
      </c>
      <c r="F102" s="299" t="s">
        <v>1026</v>
      </c>
    </row>
    <row r="103" spans="1:6" ht="154">
      <c r="A103" s="424" t="s">
        <v>929</v>
      </c>
      <c r="E103" s="299" t="s">
        <v>1014</v>
      </c>
      <c r="F103" s="299" t="s">
        <v>1027</v>
      </c>
    </row>
    <row r="104" spans="1:6" ht="19">
      <c r="A104" s="426" t="s">
        <v>990</v>
      </c>
    </row>
    <row r="105" spans="1:6" ht="56">
      <c r="A105" s="424" t="s">
        <v>991</v>
      </c>
      <c r="E105" s="299" t="s">
        <v>1015</v>
      </c>
      <c r="F105" s="299" t="s">
        <v>1028</v>
      </c>
    </row>
    <row r="106" spans="1:6" ht="42">
      <c r="A106" s="424" t="s">
        <v>992</v>
      </c>
      <c r="E106" s="299" t="s">
        <v>1016</v>
      </c>
      <c r="F106" s="299" t="s">
        <v>1029</v>
      </c>
    </row>
    <row r="107" spans="1:6" ht="14">
      <c r="A107" s="424" t="s">
        <v>993</v>
      </c>
    </row>
    <row r="108" spans="1:6" ht="98">
      <c r="A108" s="424" t="s">
        <v>994</v>
      </c>
      <c r="E108" s="299" t="s">
        <v>1017</v>
      </c>
      <c r="F108" s="299" t="s">
        <v>1030</v>
      </c>
    </row>
    <row r="109" spans="1:6" ht="14">
      <c r="A109" s="424" t="s">
        <v>995</v>
      </c>
      <c r="E109" s="299" t="s">
        <v>841</v>
      </c>
    </row>
    <row r="110" spans="1:6" ht="19">
      <c r="A110" s="426" t="s">
        <v>322</v>
      </c>
    </row>
    <row r="111" spans="1:6" ht="42">
      <c r="A111" s="424" t="s">
        <v>996</v>
      </c>
      <c r="E111" s="299" t="s">
        <v>1018</v>
      </c>
      <c r="F111" s="299" t="s">
        <v>1031</v>
      </c>
    </row>
    <row r="112" spans="1:6" ht="70">
      <c r="A112" s="424" t="s">
        <v>997</v>
      </c>
      <c r="E112" s="299" t="s">
        <v>1019</v>
      </c>
      <c r="F112" s="299" t="s">
        <v>1032</v>
      </c>
    </row>
    <row r="113" spans="1:6" ht="70">
      <c r="A113" s="424" t="s">
        <v>998</v>
      </c>
      <c r="E113" s="299" t="s">
        <v>1020</v>
      </c>
      <c r="F113" s="299" t="s">
        <v>1033</v>
      </c>
    </row>
    <row r="114" spans="1:6" ht="28">
      <c r="A114" s="424" t="s">
        <v>999</v>
      </c>
      <c r="E114" s="299" t="s">
        <v>1021</v>
      </c>
      <c r="F114" s="299" t="s">
        <v>1034</v>
      </c>
    </row>
    <row r="115" spans="1:6" ht="19">
      <c r="A115" s="426" t="s">
        <v>1004</v>
      </c>
    </row>
    <row r="116" spans="1:6" ht="42">
      <c r="A116" s="424" t="s">
        <v>1000</v>
      </c>
      <c r="E116" s="299" t="s">
        <v>1022</v>
      </c>
      <c r="F116" s="299" t="s">
        <v>1035</v>
      </c>
    </row>
    <row r="117" spans="1:6" ht="56">
      <c r="A117" s="424" t="s">
        <v>1001</v>
      </c>
      <c r="E117" s="299" t="s">
        <v>1023</v>
      </c>
      <c r="F117" s="299" t="s">
        <v>1036</v>
      </c>
    </row>
    <row r="118" spans="1:6" ht="42">
      <c r="A118" s="424" t="s">
        <v>1002</v>
      </c>
      <c r="E118" s="299" t="s">
        <v>1024</v>
      </c>
      <c r="F118" s="299" t="s">
        <v>1037</v>
      </c>
    </row>
    <row r="119" spans="1:6" ht="56">
      <c r="A119" s="424" t="s">
        <v>1003</v>
      </c>
      <c r="E119" s="299" t="s">
        <v>1025</v>
      </c>
      <c r="F119" s="299" t="s">
        <v>1038</v>
      </c>
    </row>
  </sheetData>
  <autoFilter ref="A1:E89" xr:uid="{71B6D628-FE20-438F-BBEA-031C48ACCEB5}">
    <filterColumn colId="0">
      <colorFilter dxfId="640"/>
    </filterColumn>
  </autoFilter>
  <sortState xmlns:xlrd2="http://schemas.microsoft.com/office/spreadsheetml/2017/richdata2" ref="A2:E89">
    <sortCondition sortBy="cellColor" ref="A2:A89"/>
  </sortState>
  <mergeCells count="1">
    <mergeCell ref="E1:F1"/>
  </mergeCells>
  <hyperlinks>
    <hyperlink ref="D6" r:id="rId1" display="https://ghgprotocol.org/corporate-standard" xr:uid="{91FC5856-A4E1-4DBC-BE75-33CEDE35C028}"/>
    <hyperlink ref="D7" r:id="rId2" xr:uid="{FFB465E7-1C4F-4ABF-B284-DBE95C71EF20}"/>
    <hyperlink ref="D12" r:id="rId3" xr:uid="{11632C1B-6B10-4DA9-BE2B-8810A104A7D4}"/>
    <hyperlink ref="D11" r:id="rId4" xr:uid="{39A7E935-2D2D-403A-93F9-6C5D91C710DE}"/>
  </hyperlinks>
  <pageMargins left="0.7" right="0.7" top="0.75" bottom="0.75" header="0.3" footer="0.3"/>
  <legacyDrawing r:id="rId5"/>
</worksheet>
</file>

<file path=docMetadata/LabelInfo.xml><?xml version="1.0" encoding="utf-8"?>
<clbl:labelList xmlns:clbl="http://schemas.microsoft.com/office/2020/mipLabelMetadata">
  <clbl:label id="{db3dbd43-4c4b-4544-9f8a-0553f9f5f25e}" enabled="0" method="" siteId="{db3dbd43-4c4b-4544-9f8a-0553f9f5f25e}"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Disclaimer</vt:lpstr>
      <vt:lpstr>Concept</vt:lpstr>
      <vt:lpstr>Company_Information</vt:lpstr>
      <vt:lpstr>Instructions</vt:lpstr>
      <vt:lpstr>Milestone_1</vt:lpstr>
      <vt:lpstr>Milestone_2</vt:lpstr>
      <vt:lpstr>Milestone_3</vt:lpstr>
      <vt:lpstr>Milestone_4</vt:lpstr>
      <vt:lpstr>DropdownORNamemanagerLists</vt:lpstr>
      <vt:lpstr>Milestone_5</vt:lpstr>
      <vt:lpstr>Ongoing_Implementation</vt:lpstr>
      <vt:lpstr>Results</vt:lpstr>
      <vt:lpstr>MilestoneGraphs_Calc</vt:lpstr>
      <vt:lpstr>TechnologyPhasingCurve</vt:lpstr>
      <vt:lpstr>Resources</vt:lpstr>
      <vt:lpstr>Export_Result</vt:lpstr>
      <vt:lpstr>Milestone_Results_Summary</vt:lpstr>
      <vt:lpstr>Feedback_List</vt:lpstr>
      <vt:lpstr>End_Use</vt:lpstr>
      <vt:lpstr>End_Year</vt:lpstr>
      <vt:lpstr>FilteredEndYear</vt:lpstr>
      <vt:lpstr>FilteredStartYear</vt:lpstr>
      <vt:lpstr>Hyperlink_GHG_Protocol</vt:lpstr>
      <vt:lpstr>Internal_stakeholders</vt:lpstr>
      <vt:lpstr>NAICS_Code_a</vt:lpstr>
      <vt:lpstr>Option_menu</vt:lpstr>
      <vt:lpstr>Start_Year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 Paulomi</dc:creator>
  <cp:keywords/>
  <dc:description/>
  <cp:lastModifiedBy>Wenning, Thomas</cp:lastModifiedBy>
  <cp:revision/>
  <cp:lastPrinted>2025-03-04T14:31:42Z</cp:lastPrinted>
  <dcterms:created xsi:type="dcterms:W3CDTF">2025-01-09T20:46:40Z</dcterms:created>
  <dcterms:modified xsi:type="dcterms:W3CDTF">2025-04-28T18:24:49Z</dcterms:modified>
  <cp:category/>
  <cp:contentStatus/>
</cp:coreProperties>
</file>