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mc:AlternateContent xmlns:mc="http://schemas.openxmlformats.org/markup-compatibility/2006">
    <mc:Choice Requires="x15">
      <x15ac:absPath xmlns:x15ac="http://schemas.microsoft.com/office/spreadsheetml/2010/11/ac" url="/Users/k66/Dropbox (ORNL)/Electrotechnologies Project/Cost Comparision Calculator/"/>
    </mc:Choice>
  </mc:AlternateContent>
  <xr:revisionPtr revIDLastSave="0" documentId="13_ncr:1_{0C7C9B65-8027-8145-8F1E-2BA92552481A}" xr6:coauthVersionLast="47" xr6:coauthVersionMax="47" xr10:uidLastSave="{00000000-0000-0000-0000-000000000000}"/>
  <workbookProtection workbookAlgorithmName="SHA-512" workbookHashValue="Mn9pXir7B+/mjkSPFhSqTZ9b6iz6LekwKz2Ds4Uz8dYHGzYX8qZQxBsdM/W+f8UDJPiGRduW9ReVBXR95R6Ovw==" workbookSaltValue="kPIGGBbY58FDvMBcfgOrYA==" workbookSpinCount="100000" lockStructure="1"/>
  <bookViews>
    <workbookView showSheetTabs="0" xWindow="0" yWindow="460" windowWidth="28800" windowHeight="16580" xr2:uid="{5737838A-EFDA-4125-821F-260A3A1CBB31}"/>
  </bookViews>
  <sheets>
    <sheet name="Control Page" sheetId="28" r:id="rId1"/>
    <sheet name="Guide-Instructions" sheetId="26" r:id="rId2"/>
    <sheet name="Systems" sheetId="29" r:id="rId3"/>
    <sheet name="Calculator " sheetId="11" r:id="rId4"/>
    <sheet name="Facility Level Impact" sheetId="30" r:id="rId5"/>
    <sheet name="NAICS" sheetId="33" state="hidden" r:id="rId6"/>
    <sheet name="Cost summary" sheetId="12" state="hidden" r:id="rId7"/>
    <sheet name="Cost report selection" sheetId="23" state="hidden" r:id="rId8"/>
    <sheet name="Cost Report" sheetId="24" r:id="rId9"/>
    <sheet name="Energy use" sheetId="20" r:id="rId10"/>
    <sheet name="Maintenance cost" sheetId="21" r:id="rId11"/>
    <sheet name="Combined sheets" sheetId="6" state="hidden" r:id="rId12"/>
    <sheet name="Load Charge Gas-1" sheetId="9" state="hidden" r:id="rId13"/>
    <sheet name="Solid" sheetId="2" r:id="rId14"/>
    <sheet name="liquid" sheetId="3" r:id="rId15"/>
    <sheet name="gas" sheetId="4" r:id="rId16"/>
    <sheet name="Aux equipment" sheetId="16" r:id="rId17"/>
    <sheet name="Other utilities " sheetId="17" r:id="rId18"/>
    <sheet name="Other material cost" sheetId="19" r:id="rId19"/>
    <sheet name="Labor cost " sheetId="18" r:id="rId20"/>
    <sheet name="Water use module" sheetId="27" r:id="rId21"/>
    <sheet name="Solids Properties " sheetId="13" state="hidden" r:id="rId22"/>
    <sheet name="Liquid Properties" sheetId="14" state="hidden" r:id="rId23"/>
    <sheet name="Gas Properties " sheetId="15" state="hidden" r:id="rId24"/>
  </sheets>
  <externalReferences>
    <externalReference r:id="rId25"/>
  </externalReferences>
  <definedNames>
    <definedName name="_xlnm._FilterDatabase" localSheetId="0" hidden="1">'Control Page'!$B$2:$F$10</definedName>
    <definedName name="Air_cooling_loops" localSheetId="3">#REF!</definedName>
    <definedName name="Air_cooling_loops" localSheetId="8">#REF!</definedName>
    <definedName name="Air_cooling_loops" localSheetId="6">#REF!</definedName>
    <definedName name="Air_cooling_loops" localSheetId="19">#REF!</definedName>
    <definedName name="Air_cooling_loops" localSheetId="18">#REF!</definedName>
    <definedName name="Air_cooling_loops" localSheetId="17">#REF!</definedName>
    <definedName name="Air_cooling_loops">#REF!</definedName>
    <definedName name="Clinker_bed_cooling_and_other_air" localSheetId="3">#REF!</definedName>
    <definedName name="Clinker_bed_cooling_and_other_air" localSheetId="8">#REF!</definedName>
    <definedName name="Clinker_bed_cooling_and_other_air" localSheetId="6">#REF!</definedName>
    <definedName name="Clinker_bed_cooling_and_other_air" localSheetId="19">#REF!</definedName>
    <definedName name="Clinker_bed_cooling_and_other_air" localSheetId="18">#REF!</definedName>
    <definedName name="Clinker_bed_cooling_and_other_air" localSheetId="17">#REF!</definedName>
    <definedName name="Clinker_bed_cooling_and_other_air">#REF!</definedName>
    <definedName name="Clinker_discharge" localSheetId="3">#REF!</definedName>
    <definedName name="Clinker_discharge" localSheetId="8">#REF!</definedName>
    <definedName name="Clinker_discharge" localSheetId="6">#REF!</definedName>
    <definedName name="Clinker_discharge" localSheetId="19">#REF!</definedName>
    <definedName name="Clinker_discharge" localSheetId="18">#REF!</definedName>
    <definedName name="Clinker_discharge" localSheetId="17">#REF!</definedName>
    <definedName name="Clinker_discharge">#REF!</definedName>
    <definedName name="Exhaust___flue_gases_losses" localSheetId="3">#REF!</definedName>
    <definedName name="Exhaust___flue_gases_losses" localSheetId="8">#REF!</definedName>
    <definedName name="Exhaust___flue_gases_losses" localSheetId="6">#REF!</definedName>
    <definedName name="Exhaust___flue_gases_losses" localSheetId="19">#REF!</definedName>
    <definedName name="Exhaust___flue_gases_losses" localSheetId="18">#REF!</definedName>
    <definedName name="Exhaust___flue_gases_losses" localSheetId="17">#REF!</definedName>
    <definedName name="Exhaust___flue_gases_losses">#REF!</definedName>
    <definedName name="FoodManufacturing">Table2[311  Food Manufacturing]</definedName>
    <definedName name="Fuel___energy_input" localSheetId="3">#REF!</definedName>
    <definedName name="Fuel___energy_input" localSheetId="8">#REF!</definedName>
    <definedName name="Fuel___energy_input" localSheetId="6">#REF!</definedName>
    <definedName name="Fuel___energy_input" localSheetId="19">#REF!</definedName>
    <definedName name="Fuel___energy_input" localSheetId="18">#REF!</definedName>
    <definedName name="Fuel___energy_input" localSheetId="17">#REF!</definedName>
    <definedName name="Fuel___energy_input">#REF!</definedName>
    <definedName name="Heat_input_to_charge_material" localSheetId="3">#REF!</definedName>
    <definedName name="Heat_input_to_charge_material" localSheetId="8">#REF!</definedName>
    <definedName name="Heat_input_to_charge_material" localSheetId="6">#REF!</definedName>
    <definedName name="Heat_input_to_charge_material" localSheetId="19">#REF!</definedName>
    <definedName name="Heat_input_to_charge_material" localSheetId="18">#REF!</definedName>
    <definedName name="Heat_input_to_charge_material" localSheetId="17">#REF!</definedName>
    <definedName name="Heat_input_to_charge_material">#REF!</definedName>
    <definedName name="Kiln_shell_wall_heat_losses" localSheetId="3">#REF!</definedName>
    <definedName name="Kiln_shell_wall_heat_losses" localSheetId="8">#REF!</definedName>
    <definedName name="Kiln_shell_wall_heat_losses" localSheetId="6">#REF!</definedName>
    <definedName name="Kiln_shell_wall_heat_losses" localSheetId="19">#REF!</definedName>
    <definedName name="Kiln_shell_wall_heat_losses" localSheetId="18">#REF!</definedName>
    <definedName name="Kiln_shell_wall_heat_losses" localSheetId="17">#REF!</definedName>
    <definedName name="Kiln_shell_wall_heat_losses">#REF!</definedName>
    <definedName name="Other_heat_loss_or_generation__unaccounted_if_known" localSheetId="3">#REF!</definedName>
    <definedName name="Other_heat_loss_or_generation__unaccounted_if_known" localSheetId="8">#REF!</definedName>
    <definedName name="Other_heat_loss_or_generation__unaccounted_if_known" localSheetId="6">#REF!</definedName>
    <definedName name="Other_heat_loss_or_generation__unaccounted_if_known" localSheetId="19">#REF!</definedName>
    <definedName name="Other_heat_loss_or_generation__unaccounted_if_known" localSheetId="18">#REF!</definedName>
    <definedName name="Other_heat_loss_or_generation__unaccounted_if_known" localSheetId="17">#REF!</definedName>
    <definedName name="Other_heat_loss_or_generation__unaccounted_if_known">#REF!</definedName>
    <definedName name="Other_or_waste_products_discharge" localSheetId="3">#REF!</definedName>
    <definedName name="Other_or_waste_products_discharge" localSheetId="8">#REF!</definedName>
    <definedName name="Other_or_waste_products_discharge" localSheetId="6">#REF!</definedName>
    <definedName name="Other_or_waste_products_discharge" localSheetId="19">#REF!</definedName>
    <definedName name="Other_or_waste_products_discharge" localSheetId="18">#REF!</definedName>
    <definedName name="Other_or_waste_products_discharge" localSheetId="17">#REF!</definedName>
    <definedName name="Other_or_waste_products_discharge">#REF!</definedName>
    <definedName name="Power__electric_motor_driven_systems" localSheetId="3">#REF!</definedName>
    <definedName name="Power__electric_motor_driven_systems" localSheetId="8">#REF!</definedName>
    <definedName name="Power__electric_motor_driven_systems" localSheetId="6">#REF!</definedName>
    <definedName name="Power__electric_motor_driven_systems" localSheetId="19">#REF!</definedName>
    <definedName name="Power__electric_motor_driven_systems" localSheetId="18">#REF!</definedName>
    <definedName name="Power__electric_motor_driven_systems" localSheetId="17">#REF!</definedName>
    <definedName name="Power__electric_motor_driven_systems">#REF!</definedName>
    <definedName name="Radiation_Losses_from_Openings" localSheetId="3">#REF!</definedName>
    <definedName name="Radiation_Losses_from_Openings" localSheetId="8">#REF!</definedName>
    <definedName name="Radiation_Losses_from_Openings" localSheetId="6">#REF!</definedName>
    <definedName name="Radiation_Losses_from_Openings" localSheetId="19">#REF!</definedName>
    <definedName name="Radiation_Losses_from_Openings" localSheetId="18">#REF!</definedName>
    <definedName name="Radiation_Losses_from_Openings" localSheetId="17">#REF!</definedName>
    <definedName name="Radiation_Losses_from_Openings">#REF!</definedName>
    <definedName name="Utilities" localSheetId="8">#REF!</definedName>
    <definedName name="Utilities" localSheetId="18">#REF!</definedName>
    <definedName name="Utilities">#REF!</definedName>
    <definedName name="Water_cooling_loops" localSheetId="3">#REF!</definedName>
    <definedName name="Water_cooling_loops" localSheetId="8">#REF!</definedName>
    <definedName name="Water_cooling_loops" localSheetId="6">#REF!</definedName>
    <definedName name="Water_cooling_loops" localSheetId="19">#REF!</definedName>
    <definedName name="Water_cooling_loops" localSheetId="18">#REF!</definedName>
    <definedName name="Water_cooling_loops" localSheetId="17">#REF!</definedName>
    <definedName name="Water_cooling_loops">#REF!</definedName>
    <definedName name="xx" localSheetId="8">#REF!</definedName>
    <definedName name="xx" localSheetId="18">#REF!</definedName>
    <definedName name="xx">#REF!</definedName>
    <definedName name="xxx" localSheetId="8">#REF!</definedName>
    <definedName name="xxx" localSheetId="18">#REF!</definedName>
    <definedName name="xxx">#REF!</definedName>
    <definedName name="Yes">[1]!Table2[Yes/No]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20" l="1"/>
  <c r="I12" i="20"/>
  <c r="E27" i="17"/>
  <c r="E12" i="17"/>
  <c r="AC8" i="4" l="1"/>
  <c r="AC6" i="4"/>
  <c r="AC7" i="4"/>
  <c r="Y19" i="4"/>
  <c r="V19" i="4"/>
  <c r="AD1" i="4" l="1"/>
  <c r="R6" i="4"/>
  <c r="R7" i="4"/>
  <c r="R8" i="4"/>
  <c r="R9" i="4"/>
  <c r="R10" i="4"/>
  <c r="R11" i="4"/>
  <c r="R12" i="4"/>
  <c r="R13" i="4"/>
  <c r="R14" i="4"/>
  <c r="R5" i="4"/>
  <c r="E8" i="3"/>
  <c r="R6" i="3"/>
  <c r="R8" i="3"/>
  <c r="R9" i="3"/>
  <c r="R10" i="3"/>
  <c r="R11" i="3"/>
  <c r="R12" i="3"/>
  <c r="R13" i="3"/>
  <c r="R14" i="3"/>
  <c r="R15" i="3"/>
  <c r="R16" i="3"/>
  <c r="R17" i="3"/>
  <c r="R18" i="3"/>
  <c r="R5" i="3"/>
  <c r="D8" i="3" s="1"/>
  <c r="AE3" i="3"/>
  <c r="C17" i="30" l="1"/>
  <c r="C13" i="30"/>
  <c r="C11" i="30"/>
  <c r="C9" i="30" l="1"/>
  <c r="E10" i="4" l="1"/>
  <c r="D10" i="4"/>
  <c r="W14" i="4"/>
  <c r="V14" i="4"/>
  <c r="W13" i="4"/>
  <c r="V13" i="4"/>
  <c r="S13" i="4"/>
  <c r="W12" i="4"/>
  <c r="V12" i="4"/>
  <c r="S12" i="4"/>
  <c r="W11" i="4"/>
  <c r="V11" i="4"/>
  <c r="S11" i="4"/>
  <c r="W10" i="4"/>
  <c r="V10" i="4"/>
  <c r="S10" i="4"/>
  <c r="W9" i="4"/>
  <c r="V9" i="4"/>
  <c r="S9" i="4"/>
  <c r="W8" i="4"/>
  <c r="V8" i="4"/>
  <c r="S8" i="4"/>
  <c r="W7" i="4"/>
  <c r="V7" i="4"/>
  <c r="S7" i="4"/>
  <c r="W6" i="4"/>
  <c r="V6" i="4"/>
  <c r="S6" i="4"/>
  <c r="W5" i="4"/>
  <c r="V5" i="4"/>
  <c r="S5" i="4"/>
  <c r="D9" i="4" s="1"/>
  <c r="Y4" i="4"/>
  <c r="Z4" i="4" s="1"/>
  <c r="U4" i="4"/>
  <c r="R4" i="4"/>
  <c r="D17" i="2"/>
  <c r="D18" i="2"/>
  <c r="X18" i="3"/>
  <c r="W18" i="3"/>
  <c r="V18" i="3"/>
  <c r="T18" i="3"/>
  <c r="S18" i="3"/>
  <c r="X17" i="3"/>
  <c r="W17" i="3"/>
  <c r="V17" i="3"/>
  <c r="T17" i="3"/>
  <c r="S17" i="3"/>
  <c r="X16" i="3"/>
  <c r="W16" i="3"/>
  <c r="V16" i="3"/>
  <c r="T16" i="3"/>
  <c r="S16" i="3"/>
  <c r="X15" i="3"/>
  <c r="W15" i="3"/>
  <c r="V15" i="3"/>
  <c r="T15" i="3"/>
  <c r="S15" i="3"/>
  <c r="X14" i="3"/>
  <c r="W14" i="3"/>
  <c r="V14" i="3"/>
  <c r="T14" i="3"/>
  <c r="S14" i="3"/>
  <c r="X13" i="3"/>
  <c r="W13" i="3"/>
  <c r="V13" i="3"/>
  <c r="T13" i="3"/>
  <c r="S13" i="3"/>
  <c r="X12" i="3"/>
  <c r="W12" i="3"/>
  <c r="V12" i="3"/>
  <c r="T12" i="3"/>
  <c r="S12" i="3"/>
  <c r="X11" i="3"/>
  <c r="W11" i="3"/>
  <c r="V11" i="3"/>
  <c r="T11" i="3"/>
  <c r="S11" i="3"/>
  <c r="X10" i="3"/>
  <c r="W10" i="3"/>
  <c r="V10" i="3"/>
  <c r="T10" i="3"/>
  <c r="S10" i="3"/>
  <c r="X9" i="3"/>
  <c r="W9" i="3"/>
  <c r="V9" i="3"/>
  <c r="T9" i="3"/>
  <c r="S9" i="3"/>
  <c r="X8" i="3"/>
  <c r="W8" i="3"/>
  <c r="V8" i="3"/>
  <c r="T8" i="3"/>
  <c r="S8" i="3"/>
  <c r="X7" i="3"/>
  <c r="W7" i="3"/>
  <c r="V7" i="3"/>
  <c r="T7" i="3"/>
  <c r="S7" i="3"/>
  <c r="X6" i="3"/>
  <c r="W6" i="3"/>
  <c r="V6" i="3"/>
  <c r="T6" i="3"/>
  <c r="S6" i="3"/>
  <c r="X5" i="3"/>
  <c r="W5" i="3"/>
  <c r="V5" i="3"/>
  <c r="D9" i="3" s="1"/>
  <c r="T5" i="3"/>
  <c r="S5" i="3"/>
  <c r="E7" i="3" s="1"/>
  <c r="Y4" i="3"/>
  <c r="Y15" i="3" s="1"/>
  <c r="U4" i="3"/>
  <c r="U15" i="3" s="1"/>
  <c r="R4" i="3"/>
  <c r="X44" i="2"/>
  <c r="W44" i="2"/>
  <c r="V44" i="2"/>
  <c r="S44" i="2"/>
  <c r="X43" i="2"/>
  <c r="W43" i="2"/>
  <c r="V43" i="2"/>
  <c r="T43" i="2"/>
  <c r="S43" i="2"/>
  <c r="X42" i="2"/>
  <c r="W42" i="2"/>
  <c r="V42" i="2"/>
  <c r="T42" i="2"/>
  <c r="S42" i="2"/>
  <c r="X41" i="2"/>
  <c r="W41" i="2"/>
  <c r="V41" i="2"/>
  <c r="T41" i="2"/>
  <c r="S41" i="2"/>
  <c r="X40" i="2"/>
  <c r="W40" i="2"/>
  <c r="V40" i="2"/>
  <c r="T40" i="2"/>
  <c r="X39" i="2"/>
  <c r="W39" i="2"/>
  <c r="V39" i="2"/>
  <c r="T39" i="2"/>
  <c r="S39" i="2"/>
  <c r="X38" i="2"/>
  <c r="W38" i="2"/>
  <c r="V38" i="2"/>
  <c r="T38" i="2"/>
  <c r="S38" i="2"/>
  <c r="X37" i="2"/>
  <c r="W37" i="2"/>
  <c r="V37" i="2"/>
  <c r="T37" i="2"/>
  <c r="S37" i="2"/>
  <c r="X36" i="2"/>
  <c r="W36" i="2"/>
  <c r="V36" i="2"/>
  <c r="T36" i="2"/>
  <c r="S36" i="2"/>
  <c r="X35" i="2"/>
  <c r="W35" i="2"/>
  <c r="V35" i="2"/>
  <c r="T35" i="2"/>
  <c r="S35" i="2"/>
  <c r="X34" i="2"/>
  <c r="W34" i="2"/>
  <c r="V34" i="2"/>
  <c r="T34" i="2"/>
  <c r="S34" i="2"/>
  <c r="X33" i="2"/>
  <c r="W33" i="2"/>
  <c r="V33" i="2"/>
  <c r="T33" i="2"/>
  <c r="S33" i="2"/>
  <c r="X32" i="2"/>
  <c r="W32" i="2"/>
  <c r="V32" i="2"/>
  <c r="T32" i="2"/>
  <c r="S32" i="2"/>
  <c r="X31" i="2"/>
  <c r="W31" i="2"/>
  <c r="V31" i="2"/>
  <c r="T31" i="2"/>
  <c r="S31" i="2"/>
  <c r="X30" i="2"/>
  <c r="W30" i="2"/>
  <c r="V30" i="2"/>
  <c r="T30" i="2"/>
  <c r="S30" i="2"/>
  <c r="X29" i="2"/>
  <c r="W29" i="2"/>
  <c r="V29" i="2"/>
  <c r="T29" i="2"/>
  <c r="S29" i="2"/>
  <c r="X28" i="2"/>
  <c r="W28" i="2"/>
  <c r="V28" i="2"/>
  <c r="T28" i="2"/>
  <c r="S28" i="2"/>
  <c r="X27" i="2"/>
  <c r="W27" i="2"/>
  <c r="V27" i="2"/>
  <c r="T27" i="2"/>
  <c r="S27" i="2"/>
  <c r="X26" i="2"/>
  <c r="W26" i="2"/>
  <c r="V26" i="2"/>
  <c r="T26" i="2"/>
  <c r="S26" i="2"/>
  <c r="X25" i="2"/>
  <c r="W25" i="2"/>
  <c r="V25" i="2"/>
  <c r="T25" i="2"/>
  <c r="S25" i="2"/>
  <c r="X24" i="2"/>
  <c r="W24" i="2"/>
  <c r="V24" i="2"/>
  <c r="T24" i="2"/>
  <c r="S24" i="2"/>
  <c r="X23" i="2"/>
  <c r="W23" i="2"/>
  <c r="V23" i="2"/>
  <c r="T23" i="2"/>
  <c r="S23" i="2"/>
  <c r="X22" i="2"/>
  <c r="W22" i="2"/>
  <c r="V22" i="2"/>
  <c r="T22" i="2"/>
  <c r="S22" i="2"/>
  <c r="X21" i="2"/>
  <c r="W21" i="2"/>
  <c r="V21" i="2"/>
  <c r="T21" i="2"/>
  <c r="S21" i="2"/>
  <c r="X20" i="2"/>
  <c r="W20" i="2"/>
  <c r="V20" i="2"/>
  <c r="T20" i="2"/>
  <c r="S20" i="2"/>
  <c r="X19" i="2"/>
  <c r="W19" i="2"/>
  <c r="V19" i="2"/>
  <c r="T19" i="2"/>
  <c r="S19" i="2"/>
  <c r="X18" i="2"/>
  <c r="W18" i="2"/>
  <c r="V18" i="2"/>
  <c r="T18" i="2"/>
  <c r="S18" i="2"/>
  <c r="X17" i="2"/>
  <c r="W17" i="2"/>
  <c r="V17" i="2"/>
  <c r="T17" i="2"/>
  <c r="X16" i="2"/>
  <c r="W16" i="2"/>
  <c r="V16" i="2"/>
  <c r="T16" i="2"/>
  <c r="S16" i="2"/>
  <c r="X15" i="2"/>
  <c r="W15" i="2"/>
  <c r="V15" i="2"/>
  <c r="T15" i="2"/>
  <c r="S15" i="2"/>
  <c r="X14" i="2"/>
  <c r="W14" i="2"/>
  <c r="V14" i="2"/>
  <c r="T14" i="2"/>
  <c r="S14" i="2"/>
  <c r="X13" i="2"/>
  <c r="W13" i="2"/>
  <c r="V13" i="2"/>
  <c r="T13" i="2"/>
  <c r="S13" i="2"/>
  <c r="X12" i="2"/>
  <c r="W12" i="2"/>
  <c r="V12" i="2"/>
  <c r="T12" i="2"/>
  <c r="S12" i="2"/>
  <c r="X11" i="2"/>
  <c r="W11" i="2"/>
  <c r="V11" i="2"/>
  <c r="T11" i="2"/>
  <c r="S11" i="2"/>
  <c r="X10" i="2"/>
  <c r="W10" i="2"/>
  <c r="V10" i="2"/>
  <c r="T10" i="2"/>
  <c r="S10" i="2"/>
  <c r="X9" i="2"/>
  <c r="W9" i="2"/>
  <c r="V9" i="2"/>
  <c r="T9" i="2"/>
  <c r="S9" i="2"/>
  <c r="X8" i="2"/>
  <c r="W8" i="2"/>
  <c r="V8" i="2"/>
  <c r="T8" i="2"/>
  <c r="S8" i="2"/>
  <c r="X7" i="2"/>
  <c r="W7" i="2"/>
  <c r="V7" i="2"/>
  <c r="T7" i="2"/>
  <c r="S7" i="2"/>
  <c r="X6" i="2"/>
  <c r="W6" i="2"/>
  <c r="V6" i="2"/>
  <c r="D11" i="2" s="1"/>
  <c r="T6" i="2"/>
  <c r="D9" i="2" s="1"/>
  <c r="S6" i="2"/>
  <c r="X5" i="2"/>
  <c r="W5" i="2"/>
  <c r="V5" i="2"/>
  <c r="E11" i="2" s="1"/>
  <c r="T5" i="2"/>
  <c r="E9" i="2" s="1"/>
  <c r="S5" i="2"/>
  <c r="E8" i="2" s="1"/>
  <c r="Y4" i="2"/>
  <c r="Y40" i="2" s="1"/>
  <c r="U4" i="2"/>
  <c r="U40" i="2" s="1"/>
  <c r="R4" i="2"/>
  <c r="R16" i="2" s="1"/>
  <c r="D8" i="2" l="1"/>
  <c r="D7" i="3"/>
  <c r="Z4" i="2"/>
  <c r="Z23" i="2" s="1"/>
  <c r="Y11" i="2"/>
  <c r="U14" i="2"/>
  <c r="Y14" i="2"/>
  <c r="R22" i="2"/>
  <c r="R27" i="2"/>
  <c r="U28" i="2"/>
  <c r="Y28" i="2"/>
  <c r="Y38" i="2"/>
  <c r="U42" i="2"/>
  <c r="Y42" i="2"/>
  <c r="U6" i="2"/>
  <c r="Y6" i="2"/>
  <c r="U13" i="2"/>
  <c r="Y13" i="2"/>
  <c r="Y17" i="2"/>
  <c r="U20" i="2"/>
  <c r="Y20" i="2"/>
  <c r="U25" i="2"/>
  <c r="Y25" i="2"/>
  <c r="Y30" i="2"/>
  <c r="U33" i="2"/>
  <c r="Y33" i="2"/>
  <c r="U41" i="2"/>
  <c r="Y41" i="2"/>
  <c r="U44" i="2"/>
  <c r="U5" i="2"/>
  <c r="E10" i="2" s="1"/>
  <c r="Y5" i="2"/>
  <c r="U10" i="2"/>
  <c r="Y10" i="2"/>
  <c r="Y15" i="2"/>
  <c r="R18" i="2"/>
  <c r="U19" i="2"/>
  <c r="Y19" i="2"/>
  <c r="U24" i="2"/>
  <c r="Y24" i="2"/>
  <c r="R31" i="2"/>
  <c r="U32" i="2"/>
  <c r="Y32" i="2"/>
  <c r="U37" i="2"/>
  <c r="Y37" i="2"/>
  <c r="U8" i="3"/>
  <c r="Y8" i="3"/>
  <c r="U13" i="3"/>
  <c r="Y13" i="3"/>
  <c r="Y7" i="2"/>
  <c r="U9" i="2"/>
  <c r="Y9" i="2"/>
  <c r="Y21" i="2"/>
  <c r="Y26" i="2"/>
  <c r="U29" i="2"/>
  <c r="Y29" i="2"/>
  <c r="Y34" i="2"/>
  <c r="U36" i="2"/>
  <c r="Y36" i="2"/>
  <c r="U43" i="2"/>
  <c r="Y43" i="2"/>
  <c r="D10" i="3"/>
  <c r="Y12" i="3"/>
  <c r="Y17" i="3"/>
  <c r="E9" i="4"/>
  <c r="Z4" i="3"/>
  <c r="Z18" i="3" s="1"/>
  <c r="U9" i="3"/>
  <c r="Y9" i="3"/>
  <c r="U12" i="3"/>
  <c r="U17" i="3"/>
  <c r="U5" i="3"/>
  <c r="Y5" i="3"/>
  <c r="U16" i="3"/>
  <c r="Y16" i="3"/>
  <c r="Z7" i="3"/>
  <c r="U6" i="3"/>
  <c r="Y6" i="3"/>
  <c r="U10" i="3"/>
  <c r="Y10" i="3"/>
  <c r="Z13" i="3"/>
  <c r="U14" i="3"/>
  <c r="Y14" i="3"/>
  <c r="Z17" i="3"/>
  <c r="U18" i="3"/>
  <c r="Y18" i="3"/>
  <c r="Z6" i="3"/>
  <c r="U7" i="3"/>
  <c r="Y7" i="3"/>
  <c r="U11" i="3"/>
  <c r="Y11" i="3"/>
  <c r="Z34" i="2"/>
  <c r="Z30" i="2"/>
  <c r="Z17" i="2"/>
  <c r="Z15" i="2"/>
  <c r="Z43" i="2"/>
  <c r="Z42" i="2"/>
  <c r="Z29" i="2"/>
  <c r="Z25" i="2"/>
  <c r="Z10" i="2"/>
  <c r="Z6" i="2"/>
  <c r="Z32" i="2"/>
  <c r="Z28" i="2"/>
  <c r="Z13" i="2"/>
  <c r="Z9" i="2"/>
  <c r="Z35" i="2"/>
  <c r="Z40" i="2"/>
  <c r="R38" i="2"/>
  <c r="R34" i="2"/>
  <c r="R30" i="2"/>
  <c r="R26" i="2"/>
  <c r="R21" i="2"/>
  <c r="R15" i="2"/>
  <c r="R11" i="2"/>
  <c r="R7" i="2"/>
  <c r="R42" i="2"/>
  <c r="R37" i="2"/>
  <c r="R33" i="2"/>
  <c r="R29" i="2"/>
  <c r="R25" i="2"/>
  <c r="R20" i="2"/>
  <c r="R14" i="2"/>
  <c r="R10" i="2"/>
  <c r="R6" i="2"/>
  <c r="R41" i="2"/>
  <c r="R40" i="2"/>
  <c r="R36" i="2"/>
  <c r="R32" i="2"/>
  <c r="R28" i="2"/>
  <c r="R24" i="2"/>
  <c r="R19" i="2"/>
  <c r="R13" i="2"/>
  <c r="R9" i="2"/>
  <c r="R5" i="2"/>
  <c r="R12" i="2"/>
  <c r="R39" i="2"/>
  <c r="R8" i="2"/>
  <c r="Z27" i="2"/>
  <c r="R35" i="2"/>
  <c r="U7" i="2"/>
  <c r="U11" i="2"/>
  <c r="U15" i="2"/>
  <c r="U17" i="2"/>
  <c r="U21" i="2"/>
  <c r="U26" i="2"/>
  <c r="U30" i="2"/>
  <c r="U34" i="2"/>
  <c r="U38" i="2"/>
  <c r="U8" i="2"/>
  <c r="Y8" i="2"/>
  <c r="U12" i="2"/>
  <c r="Y12" i="2"/>
  <c r="U16" i="2"/>
  <c r="Y16" i="2"/>
  <c r="U18" i="2"/>
  <c r="Y18" i="2"/>
  <c r="U22" i="2"/>
  <c r="Y22" i="2"/>
  <c r="U23" i="2"/>
  <c r="Y23" i="2"/>
  <c r="U27" i="2"/>
  <c r="Y27" i="2"/>
  <c r="U31" i="2"/>
  <c r="Y31" i="2"/>
  <c r="U35" i="2"/>
  <c r="Y35" i="2"/>
  <c r="U39" i="2"/>
  <c r="Y39" i="2"/>
  <c r="D11" i="3" l="1"/>
  <c r="Z18" i="2"/>
  <c r="Z8" i="2"/>
  <c r="Z36" i="2"/>
  <c r="Z14" i="2"/>
  <c r="Z33" i="2"/>
  <c r="Z7" i="2"/>
  <c r="Z21" i="2"/>
  <c r="Z38" i="2"/>
  <c r="Z10" i="3"/>
  <c r="Z16" i="3"/>
  <c r="AJ5" i="3"/>
  <c r="Z5" i="3" s="1"/>
  <c r="Z39" i="2"/>
  <c r="Z12" i="2"/>
  <c r="D10" i="2"/>
  <c r="Z31" i="2"/>
  <c r="Z19" i="2"/>
  <c r="Z16" i="2"/>
  <c r="Z22" i="2"/>
  <c r="Z5" i="2"/>
  <c r="Z24" i="2"/>
  <c r="Z41" i="2"/>
  <c r="Z20" i="2"/>
  <c r="Z37" i="2"/>
  <c r="Z11" i="2"/>
  <c r="Z26" i="2"/>
  <c r="Z14" i="3"/>
  <c r="Z9" i="3"/>
  <c r="Z8" i="3"/>
  <c r="Z44" i="2"/>
  <c r="Z15" i="3"/>
  <c r="Z12" i="3"/>
  <c r="Z11" i="3"/>
  <c r="C21" i="30"/>
  <c r="F13" i="3"/>
  <c r="F13" i="2"/>
  <c r="I23" i="20"/>
  <c r="I9" i="20"/>
  <c r="K7" i="11"/>
  <c r="E11" i="21" l="1"/>
  <c r="C128" i="24" l="1"/>
  <c r="C124" i="24"/>
  <c r="C120" i="24"/>
  <c r="C116" i="24"/>
  <c r="C112" i="24"/>
  <c r="C108" i="24"/>
  <c r="B101" i="24"/>
  <c r="C104" i="24"/>
  <c r="C100" i="24"/>
  <c r="Z23" i="24"/>
  <c r="Y24" i="24"/>
  <c r="Z24" i="24"/>
  <c r="Y25" i="24"/>
  <c r="Z25" i="24"/>
  <c r="Y26" i="24"/>
  <c r="Z26" i="24"/>
  <c r="Y27" i="24"/>
  <c r="Z27" i="24"/>
  <c r="Y28" i="24"/>
  <c r="Z28" i="24"/>
  <c r="Y29" i="24"/>
  <c r="Z29" i="24"/>
  <c r="Y30" i="24"/>
  <c r="Z30" i="24"/>
  <c r="Y31" i="24"/>
  <c r="Z31" i="24"/>
  <c r="Y32" i="24"/>
  <c r="Z32" i="24"/>
  <c r="Z22" i="24"/>
  <c r="Y22" i="24"/>
  <c r="E64" i="11" l="1"/>
  <c r="D64" i="11"/>
  <c r="D12" i="24" l="1"/>
  <c r="D11" i="24"/>
  <c r="F36" i="16"/>
  <c r="G36" i="16"/>
  <c r="H36" i="16"/>
  <c r="I36" i="16"/>
  <c r="J36" i="16"/>
  <c r="K36" i="16"/>
  <c r="F13" i="16"/>
  <c r="G13" i="16"/>
  <c r="H13" i="16"/>
  <c r="I13" i="16"/>
  <c r="J13" i="16"/>
  <c r="K13" i="16"/>
  <c r="Y58" i="24" l="1"/>
  <c r="X57" i="24"/>
  <c r="Y53" i="24"/>
  <c r="Y55" i="24" s="1"/>
  <c r="T53" i="24"/>
  <c r="T55" i="24" s="1"/>
  <c r="Y54" i="24" l="1"/>
  <c r="Y56" i="24" s="1"/>
  <c r="Y59" i="24"/>
  <c r="T54" i="24"/>
  <c r="T56" i="24" s="1"/>
  <c r="E14" i="3" l="1"/>
  <c r="E27" i="3" s="1"/>
  <c r="H10" i="17"/>
  <c r="G10" i="17"/>
  <c r="I10" i="17"/>
  <c r="E11" i="3" l="1"/>
  <c r="E10" i="3"/>
  <c r="E9" i="3"/>
  <c r="E31" i="3" s="1"/>
  <c r="E38" i="3"/>
  <c r="E28" i="3"/>
  <c r="D11" i="21"/>
  <c r="C21" i="20"/>
  <c r="B121" i="24"/>
  <c r="C25" i="30"/>
  <c r="B129" i="24" s="1"/>
  <c r="C23" i="30"/>
  <c r="B125" i="24" s="1"/>
  <c r="B117" i="24"/>
  <c r="C15" i="30"/>
  <c r="B113" i="24" s="1"/>
  <c r="B109" i="24"/>
  <c r="B105" i="24"/>
  <c r="E33" i="3" l="1"/>
  <c r="E32" i="3"/>
  <c r="E37" i="3"/>
  <c r="E39" i="3" s="1"/>
  <c r="E53" i="11"/>
  <c r="E34" i="3" l="1"/>
  <c r="E41" i="3" s="1"/>
  <c r="E43" i="3" s="1"/>
  <c r="E44" i="3" s="1"/>
  <c r="D8" i="27"/>
  <c r="D11" i="27" s="1"/>
  <c r="D15" i="27"/>
  <c r="E15" i="27" s="1"/>
  <c r="E6" i="27"/>
  <c r="E5" i="27"/>
  <c r="D5" i="27"/>
  <c r="E22" i="3" l="1"/>
  <c r="B11" i="26"/>
  <c r="B12" i="26" s="1"/>
  <c r="B13" i="26" s="1"/>
  <c r="B14" i="26" s="1"/>
  <c r="B15" i="26" s="1"/>
  <c r="B16" i="26" s="1"/>
  <c r="E18" i="2"/>
  <c r="E16" i="24"/>
  <c r="D16" i="24"/>
  <c r="E15" i="24"/>
  <c r="D15" i="24"/>
  <c r="D14" i="24"/>
  <c r="D13" i="24"/>
  <c r="C22" i="24" s="1"/>
  <c r="E13" i="4"/>
  <c r="D13" i="4"/>
  <c r="D14" i="3"/>
  <c r="E18" i="11"/>
  <c r="E16" i="12" s="1"/>
  <c r="D18" i="11"/>
  <c r="C18" i="11"/>
  <c r="F12" i="4" l="1"/>
  <c r="C16" i="12"/>
  <c r="C19" i="24"/>
  <c r="D19" i="24"/>
  <c r="E19" i="24"/>
  <c r="D16" i="12"/>
  <c r="E14" i="2"/>
  <c r="E19" i="11" s="1"/>
  <c r="D14" i="2"/>
  <c r="D19" i="11" s="1"/>
  <c r="E13" i="12"/>
  <c r="E12" i="12"/>
  <c r="D13" i="12"/>
  <c r="D12" i="12"/>
  <c r="D11" i="12"/>
  <c r="D10" i="12"/>
  <c r="D9" i="12"/>
  <c r="D8" i="12"/>
  <c r="E23" i="20"/>
  <c r="D23" i="20"/>
  <c r="E8" i="20"/>
  <c r="X22" i="24" l="1"/>
  <c r="X23" i="24" s="1"/>
  <c r="X24" i="24" s="1"/>
  <c r="X25" i="24" s="1"/>
  <c r="X26" i="24" s="1"/>
  <c r="X27" i="24" s="1"/>
  <c r="X28" i="24" s="1"/>
  <c r="X29" i="24" s="1"/>
  <c r="X30" i="24" s="1"/>
  <c r="X31" i="24" s="1"/>
  <c r="X32" i="24" s="1"/>
  <c r="S22" i="24"/>
  <c r="S7" i="24"/>
  <c r="S8" i="24" s="1"/>
  <c r="S9" i="24" s="1"/>
  <c r="S10" i="24" s="1"/>
  <c r="S11" i="24" s="1"/>
  <c r="S12" i="24" s="1"/>
  <c r="S13" i="24" s="1"/>
  <c r="S14" i="24" s="1"/>
  <c r="S15" i="24" s="1"/>
  <c r="S16" i="24" s="1"/>
  <c r="S17" i="24" s="1"/>
  <c r="E20" i="24"/>
  <c r="D20" i="24"/>
  <c r="D17" i="12"/>
  <c r="E30" i="11"/>
  <c r="E17" i="12"/>
  <c r="E79" i="2"/>
  <c r="E80" i="2" s="1"/>
  <c r="E56" i="2"/>
  <c r="E38" i="2"/>
  <c r="E39" i="2" s="1"/>
  <c r="E17" i="2"/>
  <c r="S23" i="24" l="1"/>
  <c r="C26" i="24"/>
  <c r="E51" i="2"/>
  <c r="E52" i="2"/>
  <c r="E57" i="2"/>
  <c r="E44" i="2"/>
  <c r="E40" i="2"/>
  <c r="E45" i="2" s="1"/>
  <c r="C27" i="3"/>
  <c r="C28" i="3" s="1"/>
  <c r="S24" i="24" l="1"/>
  <c r="C27" i="24"/>
  <c r="E53" i="2"/>
  <c r="E55" i="2"/>
  <c r="E54" i="2"/>
  <c r="E46" i="2"/>
  <c r="E41" i="2"/>
  <c r="E47" i="2"/>
  <c r="H21" i="20"/>
  <c r="H23" i="20" s="1"/>
  <c r="D53" i="11"/>
  <c r="C9" i="21"/>
  <c r="C11" i="21" s="1"/>
  <c r="C23" i="20"/>
  <c r="D8" i="20"/>
  <c r="C7" i="20"/>
  <c r="S25" i="24" l="1"/>
  <c r="C28" i="24"/>
  <c r="E60" i="2"/>
  <c r="E48" i="2"/>
  <c r="G8" i="19"/>
  <c r="G13" i="19"/>
  <c r="D13" i="19"/>
  <c r="E13" i="19" s="1"/>
  <c r="G9" i="19"/>
  <c r="H9" i="19" s="1"/>
  <c r="G11" i="19"/>
  <c r="H11" i="19" s="1"/>
  <c r="D11" i="19"/>
  <c r="E11" i="19" s="1"/>
  <c r="D9" i="19"/>
  <c r="E9" i="19" s="1"/>
  <c r="G7" i="19"/>
  <c r="D7" i="19"/>
  <c r="E7" i="19" s="1"/>
  <c r="H7" i="19" l="1"/>
  <c r="S26" i="24"/>
  <c r="C29" i="24"/>
  <c r="E62" i="2"/>
  <c r="H13" i="19"/>
  <c r="H19" i="19" s="1"/>
  <c r="E61" i="11" s="1"/>
  <c r="E12" i="20"/>
  <c r="E19" i="19"/>
  <c r="D61" i="11" s="1"/>
  <c r="I25" i="18"/>
  <c r="I27" i="18" s="1"/>
  <c r="H25" i="18"/>
  <c r="H27" i="18" s="1"/>
  <c r="G25" i="18"/>
  <c r="G27" i="18" s="1"/>
  <c r="F25" i="18"/>
  <c r="E25" i="18"/>
  <c r="D25" i="18"/>
  <c r="E9" i="18"/>
  <c r="F9" i="18"/>
  <c r="G9" i="18"/>
  <c r="G11" i="18" s="1"/>
  <c r="H9" i="18"/>
  <c r="H11" i="18" s="1"/>
  <c r="I9" i="18"/>
  <c r="I11" i="18" s="1"/>
  <c r="D9" i="18"/>
  <c r="D25" i="17"/>
  <c r="D10" i="17"/>
  <c r="F25" i="17"/>
  <c r="E25" i="17"/>
  <c r="F10" i="17"/>
  <c r="E10" i="17"/>
  <c r="E36" i="16"/>
  <c r="D36" i="16"/>
  <c r="D46" i="16" s="1"/>
  <c r="E46" i="11" s="1"/>
  <c r="E9" i="27" s="1"/>
  <c r="E10" i="27" s="1"/>
  <c r="S27" i="24" l="1"/>
  <c r="C30" i="24"/>
  <c r="E50" i="11"/>
  <c r="D50" i="11"/>
  <c r="E25" i="2"/>
  <c r="E63" i="2"/>
  <c r="E67" i="2"/>
  <c r="E68" i="2" s="1"/>
  <c r="E69" i="2" s="1"/>
  <c r="E27" i="18"/>
  <c r="F27" i="18"/>
  <c r="D27" i="18"/>
  <c r="D11" i="18"/>
  <c r="F11" i="18"/>
  <c r="E11" i="18"/>
  <c r="E13" i="16"/>
  <c r="D13" i="16"/>
  <c r="F17" i="14"/>
  <c r="Q4" i="14"/>
  <c r="Q60" i="14" s="1"/>
  <c r="Q14" i="14" l="1"/>
  <c r="Q47" i="14"/>
  <c r="Q10" i="14"/>
  <c r="Q35" i="14"/>
  <c r="Q19" i="14"/>
  <c r="Q51" i="14"/>
  <c r="Q31" i="14"/>
  <c r="Q64" i="14"/>
  <c r="E13" i="18"/>
  <c r="D55" i="11" s="1"/>
  <c r="S28" i="24"/>
  <c r="C31" i="24"/>
  <c r="E26" i="2"/>
  <c r="E27" i="2" s="1"/>
  <c r="E71" i="2"/>
  <c r="E72" i="2" s="1"/>
  <c r="E73" i="2" s="1"/>
  <c r="E29" i="18"/>
  <c r="E55" i="11" s="1"/>
  <c r="D23" i="16"/>
  <c r="D46" i="11" s="1"/>
  <c r="D9" i="27" s="1"/>
  <c r="D10" i="27" s="1"/>
  <c r="Q27" i="14"/>
  <c r="Q43" i="14"/>
  <c r="Q168" i="14"/>
  <c r="Q164" i="14"/>
  <c r="Q160" i="14"/>
  <c r="Q156" i="14"/>
  <c r="Q152" i="14"/>
  <c r="Q147" i="14"/>
  <c r="Q142" i="14"/>
  <c r="Q138" i="14"/>
  <c r="Q134" i="14"/>
  <c r="Q130" i="14"/>
  <c r="Q126" i="14"/>
  <c r="Q122" i="14"/>
  <c r="Q117" i="14"/>
  <c r="Q113" i="14"/>
  <c r="Q108" i="14"/>
  <c r="Q104" i="14"/>
  <c r="Q100" i="14"/>
  <c r="Q96" i="14"/>
  <c r="Q92" i="14"/>
  <c r="Q88" i="14"/>
  <c r="Q84" i="14"/>
  <c r="Q79" i="14"/>
  <c r="Q75" i="14"/>
  <c r="Q71" i="14"/>
  <c r="Q67" i="14"/>
  <c r="Q63" i="14"/>
  <c r="Q59" i="14"/>
  <c r="Q55" i="14"/>
  <c r="Q50" i="14"/>
  <c r="Q46" i="14"/>
  <c r="Q42" i="14"/>
  <c r="Q38" i="14"/>
  <c r="Q34" i="14"/>
  <c r="Q30" i="14"/>
  <c r="Q26" i="14"/>
  <c r="Q22" i="14"/>
  <c r="Q18" i="14"/>
  <c r="Q13" i="14"/>
  <c r="Q9" i="14"/>
  <c r="Q74" i="14"/>
  <c r="Q66" i="14"/>
  <c r="Q58" i="14"/>
  <c r="Q49" i="14"/>
  <c r="Q45" i="14"/>
  <c r="Q37" i="14"/>
  <c r="Q33" i="14"/>
  <c r="Q29" i="14"/>
  <c r="Q21" i="14"/>
  <c r="Q17" i="14"/>
  <c r="Q8" i="14"/>
  <c r="Q140" i="14"/>
  <c r="Q132" i="14"/>
  <c r="Q124" i="14"/>
  <c r="Q115" i="14"/>
  <c r="Q106" i="14"/>
  <c r="Q98" i="14"/>
  <c r="Q94" i="14"/>
  <c r="Q86" i="14"/>
  <c r="Q77" i="14"/>
  <c r="Q73" i="14"/>
  <c r="Q65" i="14"/>
  <c r="Q57" i="14"/>
  <c r="Q53" i="14"/>
  <c r="Q44" i="14"/>
  <c r="Q36" i="14"/>
  <c r="Q28" i="14"/>
  <c r="Q20" i="14"/>
  <c r="Q11" i="14"/>
  <c r="Q7" i="14"/>
  <c r="Q165" i="14"/>
  <c r="Q157" i="14"/>
  <c r="Q153" i="14"/>
  <c r="Q148" i="14"/>
  <c r="Q139" i="14"/>
  <c r="Q131" i="14"/>
  <c r="Q123" i="14"/>
  <c r="Q118" i="14"/>
  <c r="Q110" i="14"/>
  <c r="Q105" i="14"/>
  <c r="Q97" i="14"/>
  <c r="Q89" i="14"/>
  <c r="Q85" i="14"/>
  <c r="Q76" i="14"/>
  <c r="Q72" i="14"/>
  <c r="Q167" i="14"/>
  <c r="Q163" i="14"/>
  <c r="Q159" i="14"/>
  <c r="Q155" i="14"/>
  <c r="Q151" i="14"/>
  <c r="Q145" i="14"/>
  <c r="Q141" i="14"/>
  <c r="Q137" i="14"/>
  <c r="Q133" i="14"/>
  <c r="Q129" i="14"/>
  <c r="Q125" i="14"/>
  <c r="Q121" i="14"/>
  <c r="Q116" i="14"/>
  <c r="Q112" i="14"/>
  <c r="Q107" i="14"/>
  <c r="Q103" i="14"/>
  <c r="Q99" i="14"/>
  <c r="Q95" i="14"/>
  <c r="Q91" i="14"/>
  <c r="Q87" i="14"/>
  <c r="Q83" i="14"/>
  <c r="Q78" i="14"/>
  <c r="Q70" i="14"/>
  <c r="Q62" i="14"/>
  <c r="Q54" i="14"/>
  <c r="Q41" i="14"/>
  <c r="Q25" i="14"/>
  <c r="Q12" i="14"/>
  <c r="Q166" i="14"/>
  <c r="Q162" i="14"/>
  <c r="Q158" i="14"/>
  <c r="Q154" i="14"/>
  <c r="Q150" i="14"/>
  <c r="Q144" i="14"/>
  <c r="Q136" i="14"/>
  <c r="Q128" i="14"/>
  <c r="Q120" i="14"/>
  <c r="Q111" i="14"/>
  <c r="Q102" i="14"/>
  <c r="Q90" i="14"/>
  <c r="Q81" i="14"/>
  <c r="Q69" i="14"/>
  <c r="Q61" i="14"/>
  <c r="Q48" i="14"/>
  <c r="Q40" i="14"/>
  <c r="Q32" i="14"/>
  <c r="Q24" i="14"/>
  <c r="Q16" i="14"/>
  <c r="Q161" i="14"/>
  <c r="Q143" i="14"/>
  <c r="Q135" i="14"/>
  <c r="Q127" i="14"/>
  <c r="Q114" i="14"/>
  <c r="Q101" i="14"/>
  <c r="Q93" i="14"/>
  <c r="Q80" i="14"/>
  <c r="Q68" i="14"/>
  <c r="Q23" i="14"/>
  <c r="Q39" i="14"/>
  <c r="Q56" i="14"/>
  <c r="D23" i="2"/>
  <c r="S29" i="24" l="1"/>
  <c r="C32" i="24"/>
  <c r="D35" i="4"/>
  <c r="C34" i="4"/>
  <c r="C35" i="4" s="1"/>
  <c r="C36" i="4" s="1"/>
  <c r="C37" i="4" s="1"/>
  <c r="C40" i="4" s="1"/>
  <c r="C31" i="4"/>
  <c r="C30" i="4"/>
  <c r="E35" i="4"/>
  <c r="E30" i="4"/>
  <c r="E34" i="4" s="1"/>
  <c r="D30" i="4"/>
  <c r="D34" i="4" s="1"/>
  <c r="D38" i="3"/>
  <c r="D27" i="3"/>
  <c r="D28" i="3" s="1"/>
  <c r="S30" i="24" l="1"/>
  <c r="C33" i="24"/>
  <c r="E31" i="4"/>
  <c r="E36" i="4" s="1"/>
  <c r="D31" i="4"/>
  <c r="D36" i="4" s="1"/>
  <c r="D37" i="3"/>
  <c r="D39" i="3" s="1"/>
  <c r="S31" i="24" l="1"/>
  <c r="C34" i="24"/>
  <c r="E37" i="4"/>
  <c r="E40" i="4" s="1"/>
  <c r="E41" i="4" s="1"/>
  <c r="E42" i="4" s="1"/>
  <c r="E47" i="4"/>
  <c r="D37" i="4"/>
  <c r="D40" i="4" s="1"/>
  <c r="D41" i="4" s="1"/>
  <c r="D42" i="4" s="1"/>
  <c r="D47" i="4"/>
  <c r="D32" i="3"/>
  <c r="D33" i="3"/>
  <c r="D31" i="3"/>
  <c r="D13" i="27"/>
  <c r="D14" i="27" s="1"/>
  <c r="E13" i="27"/>
  <c r="S32" i="24" l="1"/>
  <c r="C36" i="24" s="1"/>
  <c r="C35" i="24"/>
  <c r="D16" i="27"/>
  <c r="D35" i="12"/>
  <c r="E51" i="11"/>
  <c r="E31" i="11"/>
  <c r="E22" i="4"/>
  <c r="D22" i="4"/>
  <c r="D51" i="11"/>
  <c r="D34" i="3"/>
  <c r="E67" i="11" l="1"/>
  <c r="E65" i="11"/>
  <c r="E56" i="11"/>
  <c r="E52" i="11"/>
  <c r="E33" i="11"/>
  <c r="E54" i="11"/>
  <c r="D41" i="3"/>
  <c r="D47" i="3"/>
  <c r="D48" i="3" s="1"/>
  <c r="C43" i="11"/>
  <c r="C49" i="11" s="1"/>
  <c r="C48" i="11"/>
  <c r="C60" i="11"/>
  <c r="C61" i="11" s="1"/>
  <c r="C65" i="11" s="1"/>
  <c r="C67" i="11" s="1"/>
  <c r="C54" i="11"/>
  <c r="C56" i="11" s="1"/>
  <c r="C33" i="11"/>
  <c r="E47" i="11"/>
  <c r="E28" i="11"/>
  <c r="E27" i="11"/>
  <c r="D22" i="3" l="1"/>
  <c r="D43" i="3"/>
  <c r="D44" i="3" s="1"/>
  <c r="E48" i="11"/>
  <c r="E49" i="11" s="1"/>
  <c r="D47" i="11"/>
  <c r="D48" i="11" s="1"/>
  <c r="E17" i="11" l="1"/>
  <c r="E13" i="20" s="1"/>
  <c r="E16" i="20" s="1"/>
  <c r="E35" i="11" s="1"/>
  <c r="D78" i="2"/>
  <c r="C38" i="2"/>
  <c r="C39" i="2" s="1"/>
  <c r="C40" i="2" s="1"/>
  <c r="C41" i="2" s="1"/>
  <c r="C25" i="2"/>
  <c r="C44" i="2" s="1"/>
  <c r="C45" i="2" s="1"/>
  <c r="C46" i="2" s="1"/>
  <c r="C47" i="2" s="1"/>
  <c r="C48" i="2" s="1"/>
  <c r="I113" i="9"/>
  <c r="I112" i="9"/>
  <c r="I111" i="9"/>
  <c r="I110" i="9"/>
  <c r="I109" i="9"/>
  <c r="F98" i="9"/>
  <c r="E98" i="9"/>
  <c r="F93" i="9"/>
  <c r="F94" i="9" s="1"/>
  <c r="E93" i="9"/>
  <c r="E94" i="9" s="1"/>
  <c r="J78" i="9"/>
  <c r="E75" i="9"/>
  <c r="F74" i="9"/>
  <c r="F64" i="9"/>
  <c r="E64" i="9"/>
  <c r="F59" i="9"/>
  <c r="F60" i="9" s="1"/>
  <c r="E59" i="9"/>
  <c r="E63" i="9" s="1"/>
  <c r="J44" i="9"/>
  <c r="E41" i="9"/>
  <c r="F40" i="9"/>
  <c r="F30" i="9"/>
  <c r="E30" i="9"/>
  <c r="F25" i="9"/>
  <c r="F29" i="9" s="1"/>
  <c r="E25" i="9"/>
  <c r="E29" i="9" s="1"/>
  <c r="I10" i="9"/>
  <c r="W14" i="9"/>
  <c r="V14" i="9"/>
  <c r="W13" i="9"/>
  <c r="V13" i="9"/>
  <c r="S13" i="9"/>
  <c r="W12" i="9"/>
  <c r="V12" i="9"/>
  <c r="S12" i="9"/>
  <c r="W11" i="9"/>
  <c r="V11" i="9"/>
  <c r="S11" i="9"/>
  <c r="W10" i="9"/>
  <c r="V10" i="9"/>
  <c r="S10" i="9"/>
  <c r="W9" i="9"/>
  <c r="V9" i="9"/>
  <c r="S9" i="9"/>
  <c r="W8" i="9"/>
  <c r="V8" i="9"/>
  <c r="S8" i="9"/>
  <c r="E8" i="9"/>
  <c r="W7" i="9"/>
  <c r="V7" i="9"/>
  <c r="S7" i="9"/>
  <c r="E7" i="9"/>
  <c r="W6" i="9"/>
  <c r="V6" i="9"/>
  <c r="S6" i="9"/>
  <c r="F6" i="9"/>
  <c r="W5" i="9"/>
  <c r="V5" i="9"/>
  <c r="S5" i="9"/>
  <c r="E76" i="9" s="1"/>
  <c r="Y4" i="9"/>
  <c r="Z4" i="9" s="1"/>
  <c r="U4" i="9"/>
  <c r="R4" i="9"/>
  <c r="R5" i="9" s="1"/>
  <c r="I13" i="20" l="1"/>
  <c r="I16" i="20" s="1"/>
  <c r="E26" i="9"/>
  <c r="E31" i="9" s="1"/>
  <c r="E32" i="9" s="1"/>
  <c r="E35" i="9" s="1"/>
  <c r="E19" i="9" s="1"/>
  <c r="F26" i="9"/>
  <c r="E60" i="9"/>
  <c r="E36" i="11"/>
  <c r="E37" i="11" s="1"/>
  <c r="I114" i="9"/>
  <c r="E18" i="24"/>
  <c r="E15" i="12"/>
  <c r="D79" i="2"/>
  <c r="J64" i="9"/>
  <c r="I78" i="9"/>
  <c r="J98" i="9"/>
  <c r="K98" i="9"/>
  <c r="J30" i="9"/>
  <c r="I44" i="9"/>
  <c r="K64" i="9"/>
  <c r="K30" i="9"/>
  <c r="E99" i="9"/>
  <c r="F76" i="9"/>
  <c r="F99" i="9" s="1"/>
  <c r="F8" i="9"/>
  <c r="F31" i="9" s="1"/>
  <c r="F32" i="9" s="1"/>
  <c r="F35" i="9" s="1"/>
  <c r="F19" i="9" s="1"/>
  <c r="J10" i="9"/>
  <c r="J105" i="9" s="1"/>
  <c r="E42" i="9"/>
  <c r="F63" i="9"/>
  <c r="E97" i="9"/>
  <c r="F97" i="9"/>
  <c r="E42" i="6"/>
  <c r="E46" i="6"/>
  <c r="D46" i="6"/>
  <c r="E26" i="6"/>
  <c r="D26" i="6"/>
  <c r="E23" i="6"/>
  <c r="E41" i="6" s="1"/>
  <c r="D23" i="6"/>
  <c r="D38" i="6" s="1"/>
  <c r="E22" i="6"/>
  <c r="E21" i="6"/>
  <c r="D35" i="6" l="1"/>
  <c r="D36" i="6" s="1"/>
  <c r="E38" i="11"/>
  <c r="F100" i="9"/>
  <c r="F103" i="9" s="1"/>
  <c r="F87" i="9" s="1"/>
  <c r="E100" i="9"/>
  <c r="E103" i="9" s="1"/>
  <c r="E87" i="9" s="1"/>
  <c r="I105" i="9"/>
  <c r="K105" i="9"/>
  <c r="L105" i="9"/>
  <c r="E65" i="9"/>
  <c r="E66" i="9" s="1"/>
  <c r="E69" i="9" s="1"/>
  <c r="E53" i="9" s="1"/>
  <c r="E105" i="9" s="1"/>
  <c r="F42" i="9"/>
  <c r="F65" i="9" s="1"/>
  <c r="F66" i="9" s="1"/>
  <c r="F69" i="9" s="1"/>
  <c r="F53" i="9" s="1"/>
  <c r="D41" i="6"/>
  <c r="D44" i="6"/>
  <c r="E44" i="6"/>
  <c r="D28" i="6"/>
  <c r="D29" i="6" s="1"/>
  <c r="D30" i="6" s="1"/>
  <c r="E35" i="6"/>
  <c r="E36" i="6" s="1"/>
  <c r="E38" i="6"/>
  <c r="E28" i="6"/>
  <c r="E29" i="6" s="1"/>
  <c r="E30" i="6" s="1"/>
  <c r="E32" i="6"/>
  <c r="E33" i="6" s="1"/>
  <c r="C26" i="6"/>
  <c r="F105" i="9" l="1"/>
  <c r="E48" i="6"/>
  <c r="E49" i="6" s="1"/>
  <c r="D48" i="6"/>
  <c r="D49" i="6" s="1"/>
  <c r="E34" i="6"/>
  <c r="D28" i="12" l="1"/>
  <c r="E28" i="12"/>
  <c r="D51" i="6"/>
  <c r="F51" i="6" s="1"/>
  <c r="U29" i="24" l="1"/>
  <c r="U14" i="24"/>
  <c r="T29" i="24"/>
  <c r="T14" i="24"/>
  <c r="D56" i="2"/>
  <c r="D38" i="2"/>
  <c r="D44" i="2" s="1"/>
  <c r="D30" i="11"/>
  <c r="D31" i="11" s="1"/>
  <c r="D33" i="11" s="1"/>
  <c r="K33" i="11" s="1"/>
  <c r="D33" i="24" l="1"/>
  <c r="E33" i="24"/>
  <c r="D67" i="11"/>
  <c r="D30" i="12" s="1"/>
  <c r="D56" i="11"/>
  <c r="D49" i="11"/>
  <c r="D23" i="12" s="1"/>
  <c r="D54" i="11"/>
  <c r="D65" i="11"/>
  <c r="D52" i="11"/>
  <c r="D59" i="11"/>
  <c r="D60" i="11" s="1"/>
  <c r="D39" i="2"/>
  <c r="T31" i="24" l="1"/>
  <c r="T16" i="24"/>
  <c r="T24" i="24"/>
  <c r="T9" i="24"/>
  <c r="D40" i="2"/>
  <c r="D47" i="2" s="1"/>
  <c r="D29" i="12"/>
  <c r="D25" i="12"/>
  <c r="D26" i="12"/>
  <c r="D27" i="12"/>
  <c r="D24" i="12"/>
  <c r="D57" i="2"/>
  <c r="D52" i="2"/>
  <c r="D51" i="2"/>
  <c r="E59" i="11"/>
  <c r="E60" i="11" s="1"/>
  <c r="E30" i="12"/>
  <c r="D28" i="24" l="1"/>
  <c r="U31" i="24"/>
  <c r="U16" i="24"/>
  <c r="T26" i="24"/>
  <c r="T11" i="24"/>
  <c r="T25" i="24"/>
  <c r="T10" i="24"/>
  <c r="T30" i="24"/>
  <c r="T15" i="24"/>
  <c r="T28" i="24"/>
  <c r="T13" i="24"/>
  <c r="D35" i="24"/>
  <c r="T27" i="24"/>
  <c r="T12" i="24"/>
  <c r="D45" i="2"/>
  <c r="D53" i="2"/>
  <c r="D55" i="2"/>
  <c r="D54" i="2"/>
  <c r="D46" i="2"/>
  <c r="D41" i="2"/>
  <c r="E23" i="12"/>
  <c r="E24" i="12"/>
  <c r="E27" i="12"/>
  <c r="E26" i="12"/>
  <c r="E29" i="12"/>
  <c r="E25" i="12"/>
  <c r="E21" i="12"/>
  <c r="U22" i="24" l="1"/>
  <c r="U7" i="24"/>
  <c r="U28" i="24"/>
  <c r="U13" i="24"/>
  <c r="U26" i="24"/>
  <c r="U11" i="24"/>
  <c r="U25" i="24"/>
  <c r="U10" i="24"/>
  <c r="D32" i="24"/>
  <c r="D29" i="24"/>
  <c r="E35" i="24"/>
  <c r="U30" i="24"/>
  <c r="U15" i="24"/>
  <c r="U24" i="24"/>
  <c r="U9" i="24"/>
  <c r="D31" i="24"/>
  <c r="U27" i="24"/>
  <c r="U12" i="24"/>
  <c r="D34" i="24"/>
  <c r="D30" i="24"/>
  <c r="D60" i="2"/>
  <c r="D48" i="2"/>
  <c r="E29" i="24" l="1"/>
  <c r="E32" i="24"/>
  <c r="E28" i="24"/>
  <c r="E31" i="24"/>
  <c r="E30" i="24"/>
  <c r="E26" i="24"/>
  <c r="E34" i="24"/>
  <c r="D62" i="2"/>
  <c r="D25" i="2" s="1"/>
  <c r="D26" i="2" s="1"/>
  <c r="D27" i="2" s="1"/>
  <c r="E40" i="11"/>
  <c r="E44" i="11" s="1"/>
  <c r="D35" i="11"/>
  <c r="D44" i="11" s="1"/>
  <c r="D67" i="2" l="1"/>
  <c r="D68" i="2" s="1"/>
  <c r="G68" i="2" s="1"/>
  <c r="D32" i="2"/>
  <c r="D63" i="2"/>
  <c r="E8" i="27"/>
  <c r="E11" i="27" s="1"/>
  <c r="E14" i="27" s="1"/>
  <c r="D36" i="11"/>
  <c r="D37" i="11" s="1"/>
  <c r="D38" i="11" s="1"/>
  <c r="E41" i="11"/>
  <c r="E42" i="11" s="1"/>
  <c r="E43" i="11" s="1"/>
  <c r="D17" i="11"/>
  <c r="D13" i="20" s="1"/>
  <c r="D16" i="20" s="1"/>
  <c r="E45" i="11" l="1"/>
  <c r="D45" i="11"/>
  <c r="D71" i="2"/>
  <c r="D72" i="2" s="1"/>
  <c r="E16" i="27"/>
  <c r="E35" i="12"/>
  <c r="D18" i="24"/>
  <c r="D15" i="12"/>
  <c r="D68" i="11"/>
  <c r="D69" i="11" s="1"/>
  <c r="E68" i="11"/>
  <c r="E69" i="11" s="1"/>
  <c r="D71" i="11" l="1"/>
  <c r="F71" i="11" s="1"/>
  <c r="E22" i="12"/>
  <c r="D21" i="12"/>
  <c r="E31" i="12"/>
  <c r="D31" i="12"/>
  <c r="T22" i="24" l="1"/>
  <c r="T7" i="24"/>
  <c r="U23" i="24"/>
  <c r="U8" i="24"/>
  <c r="T32" i="24"/>
  <c r="T17" i="24"/>
  <c r="U32" i="24"/>
  <c r="U17" i="24"/>
  <c r="D33" i="12"/>
  <c r="F33" i="12" s="1"/>
  <c r="D36" i="24" l="1"/>
  <c r="D26" i="24"/>
  <c r="E36" i="24"/>
  <c r="E27" i="24"/>
  <c r="D38" i="24" l="1"/>
  <c r="F38"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Thirumaran, Kiran</author>
  </authors>
  <commentList>
    <comment ref="C8" authorId="0" shapeId="0" xr:uid="{7AD68E45-80BF-43EA-94D2-C63E2A6165A0}">
      <text>
        <r>
          <rPr>
            <sz val="9"/>
            <color rgb="FF000000"/>
            <rFont val="Tahoma"/>
            <family val="2"/>
          </rPr>
          <t xml:space="preserve">
</t>
        </r>
        <r>
          <rPr>
            <b/>
            <sz val="9"/>
            <color rgb="FF000000"/>
            <rFont val="Tahoma"/>
            <family val="2"/>
          </rPr>
          <t>In addition to the processing capability of the installed Electrotechnology process, consider availability of raw material, required processed material from the upstream, capability of downstream processes to use increased production, market potential etc.</t>
        </r>
      </text>
    </comment>
    <comment ref="C10" authorId="0" shapeId="0" xr:uid="{9D250CC6-6416-4582-9250-115C4308EDF7}">
      <text>
        <r>
          <rPr>
            <sz val="9"/>
            <color rgb="FF000000"/>
            <rFont val="Tahoma"/>
            <family val="2"/>
          </rPr>
          <t xml:space="preserve">
</t>
        </r>
        <r>
          <rPr>
            <b/>
            <sz val="9"/>
            <color rgb="FF000000"/>
            <rFont val="Tahoma"/>
            <family val="2"/>
          </rPr>
          <t xml:space="preserve">Consider the changes that needs to be made to the upstream process(es) to supply the material required for changed (increased) production?  
</t>
        </r>
        <r>
          <rPr>
            <b/>
            <sz val="9"/>
            <color rgb="FF000000"/>
            <rFont val="Tahoma"/>
            <family val="2"/>
          </rPr>
          <t xml:space="preserve">
</t>
        </r>
        <r>
          <rPr>
            <b/>
            <sz val="9"/>
            <color rgb="FF000000"/>
            <rFont val="Tahoma"/>
            <family val="2"/>
          </rPr>
          <t xml:space="preserve">Consider also any processing step(s) that needs to be added, removed or done differently upstream due to switching to Electrotechnology for heating
</t>
        </r>
        <r>
          <rPr>
            <b/>
            <sz val="9"/>
            <color rgb="FF000000"/>
            <rFont val="Tahoma"/>
            <family val="2"/>
          </rPr>
          <t xml:space="preserve">
</t>
        </r>
      </text>
    </comment>
    <comment ref="C12" authorId="0" shapeId="0" xr:uid="{B572A179-CA87-4866-9DDC-420757414517}">
      <text>
        <r>
          <rPr>
            <b/>
            <sz val="9"/>
            <color rgb="FF000000"/>
            <rFont val="Tahoma"/>
            <family val="2"/>
          </rPr>
          <t xml:space="preserve">
</t>
        </r>
        <r>
          <rPr>
            <b/>
            <sz val="9"/>
            <color rgb="FF000000"/>
            <rFont val="Tahoma"/>
            <family val="2"/>
          </rPr>
          <t xml:space="preserve">Consider  changes that will be required to meet demand for the material processed using electrotechnology.  Examples: increased production through change in production schedule for the down stream process etc. , subcontracting the work, marketing of partially finished product etc. 
</t>
        </r>
        <r>
          <rPr>
            <b/>
            <sz val="9"/>
            <color rgb="FF000000"/>
            <rFont val="Tahoma"/>
            <family val="2"/>
          </rPr>
          <t xml:space="preserve">
</t>
        </r>
        <r>
          <rPr>
            <b/>
            <sz val="9"/>
            <color rgb="FF000000"/>
            <rFont val="Tahoma"/>
            <family val="2"/>
          </rPr>
          <t>Consider also any processing step(s) that needs to be added, removed or done differently upstream due to switching to Electrotechnology for heating</t>
        </r>
      </text>
    </comment>
    <comment ref="C16" authorId="0" shapeId="0" xr:uid="{8BAE2D17-0849-48AC-A35A-43B888B516E0}">
      <text>
        <r>
          <rPr>
            <b/>
            <sz val="9"/>
            <color rgb="FF000000"/>
            <rFont val="Tahoma"/>
            <family val="2"/>
          </rPr>
          <t xml:space="preserve">Consider any additional raw material processing that needs to be done in order to switch to electrotechnology 
</t>
        </r>
        <r>
          <rPr>
            <b/>
            <sz val="9"/>
            <color rgb="FF000000"/>
            <rFont val="Tahoma"/>
            <family val="2"/>
          </rPr>
          <t xml:space="preserve">
</t>
        </r>
        <r>
          <rPr>
            <b/>
            <sz val="9"/>
            <color rgb="FF000000"/>
            <rFont val="Tahoma"/>
            <family val="2"/>
          </rPr>
          <t xml:space="preserve">Also consider if it is possible to get the required raw material or semi-finished parts to meet requirements of the production capability of newly installed electrotechnology process?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Arvind Thekdi</author>
  </authors>
  <commentList>
    <comment ref="B15" authorId="0" shapeId="0" xr:uid="{00000000-0006-0000-0700-000001000000}">
      <text>
        <r>
          <rPr>
            <sz val="9"/>
            <color rgb="FF000000"/>
            <rFont val="Tahoma"/>
            <family val="2"/>
          </rPr>
          <t xml:space="preserve">
</t>
        </r>
        <r>
          <rPr>
            <sz val="9"/>
            <color rgb="FF000000"/>
            <rFont val="Tahoma"/>
            <family val="2"/>
          </rPr>
          <t xml:space="preserve">This is NOT Available Heat.  It is overall thermal efficiency of the heating system and will be lower than available heat due to losses. </t>
        </r>
      </text>
    </comment>
    <comment ref="G15" authorId="0" shapeId="0" xr:uid="{00000000-0006-0000-0700-000002000000}">
      <text>
        <r>
          <rPr>
            <sz val="9"/>
            <color rgb="FF000000"/>
            <rFont val="Tahoma"/>
            <family val="2"/>
          </rPr>
          <t xml:space="preserve">This is NOT Available Heat.  It is overall thermal efficiency of the heating system and will be lower than available heat due to losses. </t>
        </r>
      </text>
    </comment>
  </commentList>
</comments>
</file>

<file path=xl/sharedStrings.xml><?xml version="1.0" encoding="utf-8"?>
<sst xmlns="http://schemas.openxmlformats.org/spreadsheetml/2006/main" count="2611" uniqueCount="1596">
  <si>
    <t xml:space="preserve">Industry sector </t>
  </si>
  <si>
    <t xml:space="preserve">Process name </t>
  </si>
  <si>
    <t xml:space="preserve">Type of operation </t>
  </si>
  <si>
    <t>NAICS (3 digits)</t>
  </si>
  <si>
    <t xml:space="preserve">NAICS (4 or 5 digits) </t>
  </si>
  <si>
    <t>$/MM Btu</t>
  </si>
  <si>
    <t>$/kWh</t>
  </si>
  <si>
    <t>%</t>
  </si>
  <si>
    <t>$/year</t>
  </si>
  <si>
    <t xml:space="preserve">Btu/unit </t>
  </si>
  <si>
    <t>Material heated or processed</t>
  </si>
  <si>
    <t xml:space="preserve">Initial temperature of the material </t>
  </si>
  <si>
    <t xml:space="preserve">Deg. F. </t>
  </si>
  <si>
    <t xml:space="preserve">Final temperature of the material </t>
  </si>
  <si>
    <t xml:space="preserve">Unit of production for the material </t>
  </si>
  <si>
    <t xml:space="preserve">Thermal efficiency of the system </t>
  </si>
  <si>
    <t>Cost of fuel used</t>
  </si>
  <si>
    <t xml:space="preserve">Heat source (fuel) used </t>
  </si>
  <si>
    <t>Units/year</t>
  </si>
  <si>
    <t>Cost of fuel used per year</t>
  </si>
  <si>
    <t>O &amp; M cost per year</t>
  </si>
  <si>
    <t>Product yield (account for reject etc.)</t>
  </si>
  <si>
    <t>Total cost per year for current operation</t>
  </si>
  <si>
    <t xml:space="preserve">Cost of other utilities (i.e. water, air etc.) </t>
  </si>
  <si>
    <t>lb.</t>
  </si>
  <si>
    <t>ton (US)</t>
  </si>
  <si>
    <t>gallon (US)</t>
  </si>
  <si>
    <t>std. cu. Ft.</t>
  </si>
  <si>
    <t>Options for unit.</t>
  </si>
  <si>
    <t xml:space="preserve">Theoretical energy required </t>
  </si>
  <si>
    <t xml:space="preserve">based on theoretical energy use value </t>
  </si>
  <si>
    <t xml:space="preserve">Product (units) processed </t>
  </si>
  <si>
    <t xml:space="preserve">Annual production - units shipped </t>
  </si>
  <si>
    <t>based on units processed</t>
  </si>
  <si>
    <t xml:space="preserve">Labor and other related cost per year </t>
  </si>
  <si>
    <t>Equipment amortization cost - per year</t>
  </si>
  <si>
    <t xml:space="preserve"> </t>
  </si>
  <si>
    <t>give list of what is included</t>
  </si>
  <si>
    <t xml:space="preserve">Estimated electricity used for aux. Equipment </t>
  </si>
  <si>
    <t>kWh/year</t>
  </si>
  <si>
    <t xml:space="preserve">Operating hours per year </t>
  </si>
  <si>
    <t xml:space="preserve">$/unit </t>
  </si>
  <si>
    <t xml:space="preserve">Fuel energy used per hour </t>
  </si>
  <si>
    <t>MM Btu/hour</t>
  </si>
  <si>
    <t xml:space="preserve">Annual fuel energy used </t>
  </si>
  <si>
    <t>MM Btu/year</t>
  </si>
  <si>
    <t xml:space="preserve">General Information </t>
  </si>
  <si>
    <t xml:space="preserve">Other cost or credit (-ve number) per year </t>
  </si>
  <si>
    <t xml:space="preserve">Other material cost </t>
  </si>
  <si>
    <t>Fuel Based System</t>
  </si>
  <si>
    <t>Electrical - Hybrid system</t>
  </si>
  <si>
    <t xml:space="preserve">Processing system used </t>
  </si>
  <si>
    <t xml:space="preserve">Fuel fired </t>
  </si>
  <si>
    <t xml:space="preserve">Heating or Processing System Information </t>
  </si>
  <si>
    <t>Type of heating - processing system</t>
  </si>
  <si>
    <t>Current / processing system used or proposed electric-hybrid system</t>
  </si>
  <si>
    <t xml:space="preserve">Cost of electricity (total or marginal) </t>
  </si>
  <si>
    <t>Hrs./year</t>
  </si>
  <si>
    <t xml:space="preserve">unit/piece </t>
  </si>
  <si>
    <t xml:space="preserve">Select one of the options </t>
  </si>
  <si>
    <t>Steel</t>
  </si>
  <si>
    <t xml:space="preserve">Give descriptive name </t>
  </si>
  <si>
    <t>Forge furnace</t>
  </si>
  <si>
    <t>Induction</t>
  </si>
  <si>
    <t>Electric only</t>
  </si>
  <si>
    <t>Hybrid  (electric-fuel)</t>
  </si>
  <si>
    <t>Batch</t>
  </si>
  <si>
    <t xml:space="preserve">Continuous </t>
  </si>
  <si>
    <t>Select Batch or continuous from dropdown menu</t>
  </si>
  <si>
    <t>Select from options: electric or hybrid (electric-fuel) from drop down menu</t>
  </si>
  <si>
    <t xml:space="preserve">Natural gas </t>
  </si>
  <si>
    <t>Give name of type of fuel if used</t>
  </si>
  <si>
    <t xml:space="preserve">Use same units definition as defined above </t>
  </si>
  <si>
    <t xml:space="preserve">Electrical energy used for processing - per hour </t>
  </si>
  <si>
    <t>kWh/hour</t>
  </si>
  <si>
    <t xml:space="preserve">Annual electrical energy used for processing </t>
  </si>
  <si>
    <t>Cost of electricity used for processing - per year</t>
  </si>
  <si>
    <t>Total energy use per unit of shipped parts</t>
  </si>
  <si>
    <t>Fuel energy cost use per unit of shipped parts</t>
  </si>
  <si>
    <t>Electric energy cost use per unit of shipped parts</t>
  </si>
  <si>
    <t xml:space="preserve">MM Btu/unit </t>
  </si>
  <si>
    <t>Btu to kWh conversion at 3414 Btu/kWh</t>
  </si>
  <si>
    <t xml:space="preserve">water at $2.50 per 1000 gallons </t>
  </si>
  <si>
    <t xml:space="preserve">Cost of production/unit shipped </t>
  </si>
  <si>
    <t>Cost ratio per unit shipped: (Fuel fired/electrotechnology)</t>
  </si>
  <si>
    <t xml:space="preserve">Fuel Fired vs. Electrotechnology for Process Heating Applications </t>
  </si>
  <si>
    <t xml:space="preserve">Thermal Processing Cost Comparison Model </t>
  </si>
  <si>
    <t>Cost of material (product) loss</t>
  </si>
  <si>
    <t>Material loss as a % of material processed</t>
  </si>
  <si>
    <t xml:space="preserve">Cost or value of material processed </t>
  </si>
  <si>
    <t xml:space="preserve">Developed by E3M Inc. for Oak Ridge National Laboratory (ORNL) - U.S. Department of Energy </t>
  </si>
  <si>
    <t>Description - Comments</t>
  </si>
  <si>
    <t>ID</t>
  </si>
  <si>
    <t>Substance</t>
  </si>
  <si>
    <t>MaterialType</t>
  </si>
  <si>
    <t>Composition</t>
  </si>
  <si>
    <t>Average Pouring Temp (Deg. F)</t>
  </si>
  <si>
    <t>Change</t>
  </si>
  <si>
    <t>Load Charge Material 1</t>
  </si>
  <si>
    <t>Current</t>
  </si>
  <si>
    <t>Modified</t>
  </si>
  <si>
    <t>C=(F-32)/1.8</t>
  </si>
  <si>
    <t>Solid</t>
  </si>
  <si>
    <t>Aluminum</t>
  </si>
  <si>
    <t>Copy Current to Modified</t>
  </si>
  <si>
    <t>Done Entering Data</t>
  </si>
  <si>
    <t>Average specific heat of the solid material (dry)</t>
  </si>
  <si>
    <r>
      <t xml:space="preserve">Btu/(lb. </t>
    </r>
    <r>
      <rPr>
        <vertAlign val="superscript"/>
        <sz val="12"/>
        <rFont val="Arial"/>
        <family val="2"/>
      </rPr>
      <t>0</t>
    </r>
    <r>
      <rPr>
        <sz val="12"/>
        <rFont val="Arial"/>
        <family val="2"/>
      </rPr>
      <t>F)</t>
    </r>
  </si>
  <si>
    <t>Print Sheet</t>
  </si>
  <si>
    <t>Latent Heat of Fusion</t>
  </si>
  <si>
    <t>Btu/lb.</t>
  </si>
  <si>
    <t>Specific heat of liquid from molten material</t>
  </si>
  <si>
    <t>Melting Point</t>
  </si>
  <si>
    <t>Charge (wet)-Feed Rate</t>
  </si>
  <si>
    <t>lbs./hr.</t>
  </si>
  <si>
    <t>Water Content as Discharged (%)</t>
  </si>
  <si>
    <t>Initial Temperature</t>
  </si>
  <si>
    <t>Charge material discharge temperature</t>
  </si>
  <si>
    <t>C</t>
  </si>
  <si>
    <t>Water vapor discharge Temperature</t>
  </si>
  <si>
    <t>Charge Melted (% of Dry Charge)</t>
  </si>
  <si>
    <t>Charge Reacted (% of Dry Charge)</t>
  </si>
  <si>
    <t>Heat of Reaction</t>
  </si>
  <si>
    <t>KJ/Kg</t>
  </si>
  <si>
    <t>Endothermic/Exothermic</t>
  </si>
  <si>
    <t>Exothermic</t>
  </si>
  <si>
    <t>Additional Heat Required</t>
  </si>
  <si>
    <t>KJ/h</t>
  </si>
  <si>
    <t>Total Heat Required For Charge Material 1</t>
  </si>
  <si>
    <t>Control</t>
  </si>
  <si>
    <t xml:space="preserve">Calculations </t>
  </si>
  <si>
    <t>Water - Moisture heat requirement</t>
  </si>
  <si>
    <t>Solid load heat requirement</t>
  </si>
  <si>
    <t>Other</t>
  </si>
  <si>
    <t>Load Charge Material 2</t>
  </si>
  <si>
    <t>Kg/h</t>
  </si>
  <si>
    <t>Total Heat Required For Charge Material 2</t>
  </si>
  <si>
    <t>Load Charge Material 3</t>
  </si>
  <si>
    <t>Total Heat Required For Charge Material 3</t>
  </si>
  <si>
    <t>Total Heat For All Charge Material</t>
  </si>
  <si>
    <t>NOTES:</t>
  </si>
  <si>
    <t>Enter notes here on proposed changes for the "Modified" conditions.</t>
  </si>
  <si>
    <t>Boiling Point (Deg. F.)</t>
  </si>
  <si>
    <t>HtContentOf LiquidAt MeltingTemp (Btu/lb.)</t>
  </si>
  <si>
    <t>HtContentOf LiquidAt PouringTemp  (Btu/lb.)</t>
  </si>
  <si>
    <t>Name of the Material (Choose from List) or "Other" if not on list then 
Enter Thermal Properties In Boxes</t>
  </si>
  <si>
    <t>Enter Matl Here</t>
  </si>
  <si>
    <t>Specific Heat of Vapor</t>
  </si>
  <si>
    <r>
      <t>0</t>
    </r>
    <r>
      <rPr>
        <sz val="12"/>
        <rFont val="Arial"/>
        <family val="2"/>
      </rPr>
      <t>F</t>
    </r>
  </si>
  <si>
    <t>Discharge Temperature</t>
  </si>
  <si>
    <t>Type of Reaction (Endothermic/Exothermic)</t>
  </si>
  <si>
    <t>Endothermic</t>
  </si>
  <si>
    <t>kg/h</t>
  </si>
  <si>
    <t>Vapor heat requirement</t>
  </si>
  <si>
    <t>kJ/h</t>
  </si>
  <si>
    <t>Total heat for the vapor related thermal load</t>
  </si>
  <si>
    <t>Density (lb/cu.ft.)</t>
  </si>
  <si>
    <r>
      <t>MeanSpecific Heat of Gas (Btu/lb.</t>
    </r>
    <r>
      <rPr>
        <vertAlign val="superscript"/>
        <sz val="10"/>
        <rFont val="Arial"/>
        <family val="2"/>
      </rPr>
      <t>0</t>
    </r>
    <r>
      <rPr>
        <sz val="10"/>
        <rFont val="Arial"/>
        <family val="2"/>
      </rPr>
      <t xml:space="preserve">F) </t>
    </r>
  </si>
  <si>
    <t>LatentHeatOf Fusion Btu/lb.</t>
  </si>
  <si>
    <r>
      <t>MeanSpecific Heat Of Vapor (Btu/lb.</t>
    </r>
    <r>
      <rPr>
        <vertAlign val="superscript"/>
        <sz val="10"/>
        <rFont val="Arial"/>
        <family val="2"/>
      </rPr>
      <t>0</t>
    </r>
    <r>
      <rPr>
        <sz val="10"/>
        <rFont val="Arial"/>
        <family val="2"/>
      </rPr>
      <t xml:space="preserve">F) </t>
    </r>
  </si>
  <si>
    <t>HtContentOf Solid At MeltingPoint (Btu/lb.)</t>
  </si>
  <si>
    <t>Gas</t>
  </si>
  <si>
    <t>Water vapor - near atm. pressure</t>
  </si>
  <si>
    <t>Name of the Material (Choose from List) or "Other" if not on list then 
Enter Material  Name and Thermal Properties In Boxes</t>
  </si>
  <si>
    <t>Carbon monoxide - low pressure</t>
  </si>
  <si>
    <t>Steam - 350 kPa, 205 Celsius</t>
  </si>
  <si>
    <t>Steam - 1050 kPa, 260 Celsius</t>
  </si>
  <si>
    <t>Specific Heat of Gas</t>
  </si>
  <si>
    <t>Steam - 4150 kPa, 375 Celsius</t>
  </si>
  <si>
    <t>Air - low pressure</t>
  </si>
  <si>
    <t>Feed Rate for Gas Mixture</t>
  </si>
  <si>
    <t>Nitrogen - low pressure</t>
  </si>
  <si>
    <t>Vapor in Gas Mixture (% of Total)</t>
  </si>
  <si>
    <t>Oxygen - low pressure</t>
  </si>
  <si>
    <t>Carbon dioxide - low pressure</t>
  </si>
  <si>
    <t>KJ/(Kg C)</t>
  </si>
  <si>
    <t>Hydrogen - low pressure</t>
  </si>
  <si>
    <t>Feed Gas Reacted (% of Total)</t>
  </si>
  <si>
    <t>Weight of vapor in gas mixture</t>
  </si>
  <si>
    <t xml:space="preserve">Weight of feed (total - vapor)  gas </t>
  </si>
  <si>
    <t>Heating vapor to discharge temperature</t>
  </si>
  <si>
    <t>Heat required for reaction of gas mixture</t>
  </si>
  <si>
    <t>Heat for gas heating to discharge temp.</t>
  </si>
  <si>
    <t>Total heat required for gas mixture heating</t>
  </si>
  <si>
    <t>Enter Matl Name</t>
  </si>
  <si>
    <t>Reduced vapor content of the gas - vapor mixture</t>
  </si>
  <si>
    <t>Preheated the gas from 15 C to 225 C</t>
  </si>
  <si>
    <t>Additional heat required set to zero</t>
  </si>
  <si>
    <t xml:space="preserve"> -   </t>
  </si>
  <si>
    <t>Btu/(lb. deg. F)</t>
  </si>
  <si>
    <t xml:space="preserve">Btu/hr. </t>
  </si>
  <si>
    <t xml:space="preserve">Weight of water for charged wet material </t>
  </si>
  <si>
    <t>Weight of solid dry material as charged</t>
  </si>
  <si>
    <t xml:space="preserve">Weight of water for discharged wet material </t>
  </si>
  <si>
    <t>Total weight of wet material at discharge</t>
  </si>
  <si>
    <t xml:space="preserve">Heating all water to boiling point </t>
  </si>
  <si>
    <t xml:space="preserve">Total heat for the water related thermal load </t>
  </si>
  <si>
    <t>Btu/hr.</t>
  </si>
  <si>
    <t xml:space="preserve">Heat for reaction during heating  </t>
  </si>
  <si>
    <t xml:space="preserve">Heat required for cooling the molten material  </t>
  </si>
  <si>
    <t>Heat required for cooling the remaining solid material</t>
  </si>
  <si>
    <t>use calculator, tool or give estimated value</t>
  </si>
  <si>
    <t xml:space="preserve">Water Content as % of charged mixture (liquid + solids) </t>
  </si>
  <si>
    <t>Weight of solids</t>
  </si>
  <si>
    <t>lbs./hr</t>
  </si>
  <si>
    <t>Weight of liquid</t>
  </si>
  <si>
    <t>Total weight of mixture</t>
  </si>
  <si>
    <t xml:space="preserve">Liquid content as % of mixture weight </t>
  </si>
  <si>
    <t xml:space="preserve">Heat required for vaporization for water removed </t>
  </si>
  <si>
    <t xml:space="preserve">Heat for vapor superheat (to product final temp.)  </t>
  </si>
  <si>
    <t xml:space="preserve">Heat required for retained water to material discharge temp. </t>
  </si>
  <si>
    <t xml:space="preserve">Heat required for solid material up to discharge or melting point </t>
  </si>
  <si>
    <t xml:space="preserve">Weight of unmelted material </t>
  </si>
  <si>
    <t xml:space="preserve">Weight of melted material </t>
  </si>
  <si>
    <t>Heat required for melting  of material melted</t>
  </si>
  <si>
    <t xml:space="preserve">Heat required for super heating unmelted solid material </t>
  </si>
  <si>
    <t>Available heat</t>
  </si>
  <si>
    <t xml:space="preserve">Gross heat input required </t>
  </si>
  <si>
    <t>Net heat used for solid-dry material not counting heat of reaction</t>
  </si>
  <si>
    <t xml:space="preserve">Total heat required for charge material w/o reaction + additional heat required </t>
  </si>
  <si>
    <t>Total heat required for charge material w/o heat of reaction</t>
  </si>
  <si>
    <t xml:space="preserve">Estimated electricity cost for aux. Equipment </t>
  </si>
  <si>
    <t xml:space="preserve">Fuel energy </t>
  </si>
  <si>
    <t xml:space="preserve">Electric energy </t>
  </si>
  <si>
    <t xml:space="preserve">Aux. Equipment </t>
  </si>
  <si>
    <t xml:space="preserve">Other utilities </t>
  </si>
  <si>
    <t xml:space="preserve">O &amp; M </t>
  </si>
  <si>
    <t>Labor + related</t>
  </si>
  <si>
    <t>Product loss</t>
  </si>
  <si>
    <t xml:space="preserve">Other material </t>
  </si>
  <si>
    <t xml:space="preserve">Other </t>
  </si>
  <si>
    <t xml:space="preserve">Eq. amort. </t>
  </si>
  <si>
    <t xml:space="preserve">Equipment amortization cost </t>
  </si>
  <si>
    <t xml:space="preserve">Btu/lb. </t>
  </si>
  <si>
    <t>$/ton</t>
  </si>
  <si>
    <t>MM Btu/ton</t>
  </si>
  <si>
    <t xml:space="preserve">Equipment installed cost </t>
  </si>
  <si>
    <t>$</t>
  </si>
  <si>
    <t xml:space="preserve">Annual production - tons shipped </t>
  </si>
  <si>
    <t>Tons/year</t>
  </si>
  <si>
    <t xml:space="preserve">Heat required per ton </t>
  </si>
  <si>
    <t>Btu/ton</t>
  </si>
  <si>
    <t xml:space="preserve">Overall thermal efficiency </t>
  </si>
  <si>
    <t xml:space="preserve">Heat input required </t>
  </si>
  <si>
    <t xml:space="preserve">Measured or estimated for fuel fired system </t>
  </si>
  <si>
    <t xml:space="preserve">Production rate </t>
  </si>
  <si>
    <t xml:space="preserve">Heat input options </t>
  </si>
  <si>
    <t>Calculations for Heat Requirement</t>
  </si>
  <si>
    <t xml:space="preserve">Heat input </t>
  </si>
  <si>
    <t>Thermal efficiency</t>
  </si>
  <si>
    <t>Total heat required for charge material with heat of reaction</t>
  </si>
  <si>
    <t>Liquid</t>
  </si>
  <si>
    <t>Water - std. atmospheric pressure</t>
  </si>
  <si>
    <t>Specific Heat of Liquid</t>
  </si>
  <si>
    <t>Vaporizing Temperature</t>
  </si>
  <si>
    <t>F</t>
  </si>
  <si>
    <t>Latent Heat of Vaporization</t>
  </si>
  <si>
    <t>Charge (Liquid)-Feed Rate</t>
  </si>
  <si>
    <t>Charge Liquid Vaporized  (% of Charge)</t>
  </si>
  <si>
    <t>Charge Liquid Reacted (% of Charge)</t>
  </si>
  <si>
    <t xml:space="preserve">Additional Heat Required </t>
  </si>
  <si>
    <t>Weight of liquid vaporized</t>
  </si>
  <si>
    <t>Total weight of liquid at discharge</t>
  </si>
  <si>
    <t>Heating liquid to vaporizing temperature</t>
  </si>
  <si>
    <t>Heat required for vaporization of liquid</t>
  </si>
  <si>
    <t xml:space="preserve">Heat for vapor superheat (to liquid discharge temp) </t>
  </si>
  <si>
    <t>Liquid heat requirement</t>
  </si>
  <si>
    <t>Heating of liquid to discharge temperature</t>
  </si>
  <si>
    <t>Heat of reaction for liquid</t>
  </si>
  <si>
    <t>Total heat for liquid related thermal load</t>
  </si>
  <si>
    <t>Total heat required for liquid heating</t>
  </si>
  <si>
    <t xml:space="preserve">Load Charge Liquid Material </t>
  </si>
  <si>
    <t xml:space="preserve">Heat required for vaporized liquid </t>
  </si>
  <si>
    <t xml:space="preserve">Available heat </t>
  </si>
  <si>
    <t xml:space="preserve">Gross heat required not counting heat of reaction </t>
  </si>
  <si>
    <t xml:space="preserve">Gross heat required counting heat of reaction </t>
  </si>
  <si>
    <t xml:space="preserve">Gas - Vapor Mixture </t>
  </si>
  <si>
    <t xml:space="preserve">Gross heat required </t>
  </si>
  <si>
    <t xml:space="preserve">Based on vapor specific heat 0.481 Btu/(lb. F.) </t>
  </si>
  <si>
    <t>Specific name of the material heated or processed</t>
  </si>
  <si>
    <t>Density (#s/ft^3)</t>
  </si>
  <si>
    <t>LatentHeatof Fusion Btu/lb.</t>
  </si>
  <si>
    <t>MeltingPoint (Deg. F.)</t>
  </si>
  <si>
    <t xml:space="preserve">HtContentOf Solid At MeltingPoint (Btu/lb.) </t>
  </si>
  <si>
    <t xml:space="preserve">HtContentOf LiquidAt MeltingTemp (Btu/lb.) </t>
  </si>
  <si>
    <t>HtContentOf LiquidAt PouringTemp (Btu/lb.)</t>
  </si>
  <si>
    <t xml:space="preserve">Conversion Factor </t>
  </si>
  <si>
    <t>Al</t>
  </si>
  <si>
    <t>Babbitt, lead  base</t>
  </si>
  <si>
    <t>75 Pb,15 Sb,10 Sn</t>
  </si>
  <si>
    <t>Babbitt, tin  base</t>
  </si>
  <si>
    <t>83.3 Sn,8.4 Sb,8.3 Cu</t>
  </si>
  <si>
    <t>Bismuth</t>
  </si>
  <si>
    <t>Bi</t>
  </si>
  <si>
    <t>Brass, Muntz metal</t>
  </si>
  <si>
    <t>60 Cu,40 Zn</t>
  </si>
  <si>
    <t>Brass, red</t>
  </si>
  <si>
    <t>90 Cu,10 Zn</t>
  </si>
  <si>
    <t>Brass,yellow</t>
  </si>
  <si>
    <t>67 Cu,33 Zn</t>
  </si>
  <si>
    <t>Bronze,  bearing</t>
  </si>
  <si>
    <t>80 Cu,10 Pb,10 Sn</t>
  </si>
  <si>
    <t>Bronze, aluminum</t>
  </si>
  <si>
    <t>90 Cu,10 Al</t>
  </si>
  <si>
    <t>Bronze, bell metal</t>
  </si>
  <si>
    <t>78 Cu,22 Sn</t>
  </si>
  <si>
    <t>Bronze, gun metal</t>
  </si>
  <si>
    <t>90 Cu,1oSn</t>
  </si>
  <si>
    <t>Bronze, tobin</t>
  </si>
  <si>
    <t>60 Cu,39.2 Zn,0.8 Sn</t>
  </si>
  <si>
    <t>Carbon Steel</t>
  </si>
  <si>
    <t>1000 series</t>
  </si>
  <si>
    <t>Copper</t>
  </si>
  <si>
    <t>Cu</t>
  </si>
  <si>
    <t>Die casting metal</t>
  </si>
  <si>
    <t>92 Al,8 Cu</t>
  </si>
  <si>
    <t>80 Pb,10 Sn,10 Sb</t>
  </si>
  <si>
    <t>90 Sn,4.5 Cu,5,5 Sb</t>
  </si>
  <si>
    <t>87.3 Zn,8.1Sn,4.1Cu,0.5A</t>
  </si>
  <si>
    <t>German silver</t>
  </si>
  <si>
    <t>60 Cu,25 Zn,1 5 Ni</t>
  </si>
  <si>
    <t>Gold</t>
  </si>
  <si>
    <t>Au</t>
  </si>
  <si>
    <t>Inconel - 600</t>
  </si>
  <si>
    <t>Inconel</t>
  </si>
  <si>
    <t>Iron, cast, gray</t>
  </si>
  <si>
    <t>94 Fe,3.5 C,2.5 Si</t>
  </si>
  <si>
    <t>Iron, cast, white</t>
  </si>
  <si>
    <t>97 Fe,3 C</t>
  </si>
  <si>
    <t>Iron, pig</t>
  </si>
  <si>
    <t>93 Fe,4.22 C,1.48 Si,0.73 Mn,0.12P ,0.03 S</t>
  </si>
  <si>
    <t>Iron, pure</t>
  </si>
  <si>
    <t>Fe</t>
  </si>
  <si>
    <t>Lead</t>
  </si>
  <si>
    <t>Pb</t>
  </si>
  <si>
    <t>Linotype</t>
  </si>
  <si>
    <t>86 pb,11 sb,3sn</t>
  </si>
  <si>
    <t>Magnesium</t>
  </si>
  <si>
    <t>Mg</t>
  </si>
  <si>
    <t>Manganese</t>
  </si>
  <si>
    <t>Mn</t>
  </si>
  <si>
    <t>Monel metal</t>
  </si>
  <si>
    <t>67 Ni,28 Cu; Fe, Mn, Si</t>
  </si>
  <si>
    <t>Nickel 60 to 2644 F</t>
  </si>
  <si>
    <t>Ni</t>
  </si>
  <si>
    <t>Silver</t>
  </si>
  <si>
    <t>Ag</t>
  </si>
  <si>
    <t>solder, bismuth</t>
  </si>
  <si>
    <t>40 pb,20 Sn,40 Bi</t>
  </si>
  <si>
    <t>Solder, plumbers</t>
  </si>
  <si>
    <t>50 pb,50 Sn</t>
  </si>
  <si>
    <t>Stainless Steel - 300 series</t>
  </si>
  <si>
    <t>310 and 304</t>
  </si>
  <si>
    <t>Stainless Steel - 410</t>
  </si>
  <si>
    <t>410 SS</t>
  </si>
  <si>
    <t>Tin</t>
  </si>
  <si>
    <t>Sn</t>
  </si>
  <si>
    <t>Zinc</t>
  </si>
  <si>
    <t>Zn</t>
  </si>
  <si>
    <t>Refractory</t>
  </si>
  <si>
    <t>Ladle Refractory</t>
  </si>
  <si>
    <t>1.3</t>
  </si>
  <si>
    <t>400</t>
  </si>
  <si>
    <t>1.2</t>
  </si>
  <si>
    <t>700</t>
  </si>
  <si>
    <t xml:space="preserve">MeanSpecific Heat of solid (Btu/lb. 0F) </t>
  </si>
  <si>
    <t>MeanSpecific Heat Of Liquid (Btu/lb 0F)</t>
  </si>
  <si>
    <t xml:space="preserve">LatentHeatOf Fusion Btu/lb. </t>
  </si>
  <si>
    <t>Acetic Acid</t>
  </si>
  <si>
    <t>Acetone</t>
  </si>
  <si>
    <t>Alcohol- ethyl</t>
  </si>
  <si>
    <t>Alcohol - methyl</t>
  </si>
  <si>
    <t>Benzene</t>
  </si>
  <si>
    <t>Bromine</t>
  </si>
  <si>
    <t>Carbon tetrachloride</t>
  </si>
  <si>
    <t>Fuel oil no. 6 (average)</t>
  </si>
  <si>
    <t>Kerosene</t>
  </si>
  <si>
    <t>Methanol</t>
  </si>
  <si>
    <t xml:space="preserve">MeanSpecific Heat of Gas (Btu/lb.0F) </t>
  </si>
  <si>
    <t xml:space="preserve">MeanSpecific Heat Of Vapor (Btu/lb.0F) </t>
  </si>
  <si>
    <t xml:space="preserve">Steam - 50 psig, 400 deg. F. </t>
  </si>
  <si>
    <t xml:space="preserve">Steam - 150 psig, 500 deg. F. </t>
  </si>
  <si>
    <t xml:space="preserve">Steam - 600 psig, 700 deg. F. </t>
  </si>
  <si>
    <r>
      <t xml:space="preserve">MeanSpecific Heat of liquid (Btu/(Lb. </t>
    </r>
    <r>
      <rPr>
        <vertAlign val="superscript"/>
        <sz val="12"/>
        <color theme="1"/>
        <rFont val="Calibri"/>
        <family val="2"/>
        <scheme val="minor"/>
      </rPr>
      <t>o</t>
    </r>
    <r>
      <rPr>
        <sz val="12"/>
        <color theme="1"/>
        <rFont val="Calibri"/>
        <family val="2"/>
        <scheme val="minor"/>
      </rPr>
      <t xml:space="preserve">F) </t>
    </r>
  </si>
  <si>
    <t>Water - 150 psig</t>
  </si>
  <si>
    <t>Material  Type</t>
  </si>
  <si>
    <r>
      <t xml:space="preserve">MeanSpecific Heat Of Vapor (Btu/(lb. </t>
    </r>
    <r>
      <rPr>
        <vertAlign val="superscript"/>
        <sz val="12"/>
        <color theme="1"/>
        <rFont val="Calibri"/>
        <family val="2"/>
        <scheme val="minor"/>
      </rPr>
      <t>0</t>
    </r>
    <r>
      <rPr>
        <sz val="12"/>
        <color theme="1"/>
        <rFont val="Calibri"/>
        <family val="2"/>
        <scheme val="minor"/>
      </rPr>
      <t xml:space="preserve">F)  </t>
    </r>
  </si>
  <si>
    <t>Temperature</t>
  </si>
  <si>
    <r>
      <t xml:space="preserve">- </t>
    </r>
    <r>
      <rPr>
        <i/>
        <sz val="12"/>
        <color theme="1"/>
        <rFont val="Calibri"/>
        <family val="2"/>
        <scheme val="minor"/>
      </rPr>
      <t>t</t>
    </r>
    <r>
      <rPr>
        <sz val="12"/>
        <color theme="1"/>
        <rFont val="Calibri"/>
        <family val="2"/>
        <scheme val="minor"/>
      </rPr>
      <t xml:space="preserve"> -</t>
    </r>
  </si>
  <si>
    <r>
      <t>(</t>
    </r>
    <r>
      <rPr>
        <i/>
        <vertAlign val="superscript"/>
        <sz val="12"/>
        <color theme="1"/>
        <rFont val="Calibri"/>
        <family val="2"/>
        <scheme val="minor"/>
      </rPr>
      <t>o</t>
    </r>
    <r>
      <rPr>
        <i/>
        <sz val="12"/>
        <color theme="1"/>
        <rFont val="Calibri"/>
        <family val="2"/>
        <scheme val="minor"/>
      </rPr>
      <t>C)</t>
    </r>
  </si>
  <si>
    <t>Density</t>
  </si>
  <si>
    <r>
      <t xml:space="preserve">- </t>
    </r>
    <r>
      <rPr>
        <i/>
        <sz val="12"/>
        <color theme="1"/>
        <rFont val="Calibri"/>
        <family val="2"/>
        <scheme val="minor"/>
      </rPr>
      <t>ρ</t>
    </r>
    <r>
      <rPr>
        <sz val="12"/>
        <color theme="1"/>
        <rFont val="Calibri"/>
        <family val="2"/>
        <scheme val="minor"/>
      </rPr>
      <t xml:space="preserve"> -</t>
    </r>
  </si>
  <si>
    <r>
      <t>(kg/m</t>
    </r>
    <r>
      <rPr>
        <i/>
        <vertAlign val="superscript"/>
        <sz val="12"/>
        <color theme="1"/>
        <rFont val="Calibri"/>
        <family val="2"/>
        <scheme val="minor"/>
      </rPr>
      <t>3</t>
    </r>
    <r>
      <rPr>
        <i/>
        <sz val="12"/>
        <color theme="1"/>
        <rFont val="Calibri"/>
        <family val="2"/>
        <scheme val="minor"/>
      </rPr>
      <t>)</t>
    </r>
  </si>
  <si>
    <t>Acetonitrile</t>
  </si>
  <si>
    <t>Alcohol, ethyl (ethanol)</t>
  </si>
  <si>
    <t>Alcohol, methyl (methanol)</t>
  </si>
  <si>
    <t>Alcohol, propyl</t>
  </si>
  <si>
    <t>Ammonia (aqua)</t>
  </si>
  <si>
    <t>Aniline</t>
  </si>
  <si>
    <t>Automobile oils</t>
  </si>
  <si>
    <t>880 - 940</t>
  </si>
  <si>
    <t>Beer (varies)</t>
  </si>
  <si>
    <t>Benzil</t>
  </si>
  <si>
    <t>Brine</t>
  </si>
  <si>
    <t>Butyric Acid</t>
  </si>
  <si>
    <t>Butane</t>
  </si>
  <si>
    <t>n-Butyl Acetate</t>
  </si>
  <si>
    <t>n-Butyl Alcohol</t>
  </si>
  <si>
    <t>n-Butylhloride</t>
  </si>
  <si>
    <t>Caproic acid</t>
  </si>
  <si>
    <t>Carbolic acid</t>
  </si>
  <si>
    <t>Carbon disulfide</t>
  </si>
  <si>
    <t>Carene</t>
  </si>
  <si>
    <t>Castor oil</t>
  </si>
  <si>
    <t>Chloride</t>
  </si>
  <si>
    <t>Chlorobenzene</t>
  </si>
  <si>
    <t>Chloroform</t>
  </si>
  <si>
    <t>Citric acid, 50% aqueous solution</t>
  </si>
  <si>
    <t>Coconut oil</t>
  </si>
  <si>
    <t>Cotton seed oil</t>
  </si>
  <si>
    <t>Cresol</t>
  </si>
  <si>
    <t>Creosote</t>
  </si>
  <si>
    <r>
      <t>Crude oil, 48</t>
    </r>
    <r>
      <rPr>
        <vertAlign val="superscript"/>
        <sz val="12"/>
        <color theme="1"/>
        <rFont val="Calibri"/>
        <family val="2"/>
        <scheme val="minor"/>
      </rPr>
      <t>o</t>
    </r>
    <r>
      <rPr>
        <sz val="12"/>
        <color theme="1"/>
        <rFont val="Calibri"/>
        <family val="2"/>
        <scheme val="minor"/>
      </rPr>
      <t xml:space="preserve"> API</t>
    </r>
  </si>
  <si>
    <r>
      <t>60</t>
    </r>
    <r>
      <rPr>
        <vertAlign val="superscript"/>
        <sz val="12"/>
        <color theme="1"/>
        <rFont val="Calibri"/>
        <family val="2"/>
        <scheme val="minor"/>
      </rPr>
      <t>o</t>
    </r>
    <r>
      <rPr>
        <sz val="12"/>
        <color theme="1"/>
        <rFont val="Calibri"/>
        <family val="2"/>
        <scheme val="minor"/>
      </rPr>
      <t>F</t>
    </r>
  </si>
  <si>
    <r>
      <t>Crude oil, 40</t>
    </r>
    <r>
      <rPr>
        <vertAlign val="superscript"/>
        <sz val="12"/>
        <color theme="1"/>
        <rFont val="Calibri"/>
        <family val="2"/>
        <scheme val="minor"/>
      </rPr>
      <t>o</t>
    </r>
    <r>
      <rPr>
        <sz val="12"/>
        <color theme="1"/>
        <rFont val="Calibri"/>
        <family val="2"/>
        <scheme val="minor"/>
      </rPr>
      <t xml:space="preserve"> API</t>
    </r>
  </si>
  <si>
    <r>
      <t>Crude oil, 35.6</t>
    </r>
    <r>
      <rPr>
        <vertAlign val="superscript"/>
        <sz val="12"/>
        <color theme="1"/>
        <rFont val="Calibri"/>
        <family val="2"/>
        <scheme val="minor"/>
      </rPr>
      <t>o</t>
    </r>
    <r>
      <rPr>
        <sz val="12"/>
        <color theme="1"/>
        <rFont val="Calibri"/>
        <family val="2"/>
        <scheme val="minor"/>
      </rPr>
      <t xml:space="preserve"> API</t>
    </r>
  </si>
  <si>
    <r>
      <t>Crude oil, 32.6</t>
    </r>
    <r>
      <rPr>
        <vertAlign val="superscript"/>
        <sz val="12"/>
        <color theme="1"/>
        <rFont val="Calibri"/>
        <family val="2"/>
        <scheme val="minor"/>
      </rPr>
      <t>o</t>
    </r>
    <r>
      <rPr>
        <sz val="12"/>
        <color theme="1"/>
        <rFont val="Calibri"/>
        <family val="2"/>
        <scheme val="minor"/>
      </rPr>
      <t xml:space="preserve"> API</t>
    </r>
  </si>
  <si>
    <t>Crude oil, California</t>
  </si>
  <si>
    <t>Crude oil, Mexican</t>
  </si>
  <si>
    <t>Crude oil, Texas</t>
  </si>
  <si>
    <t>Cumene</t>
  </si>
  <si>
    <t>Cyclohexane</t>
  </si>
  <si>
    <t>Cyclopentane</t>
  </si>
  <si>
    <t>Decane</t>
  </si>
  <si>
    <t>Diesel fuel oil 20 to 60</t>
  </si>
  <si>
    <t>820 - 950</t>
  </si>
  <si>
    <t>Diethyl ether</t>
  </si>
  <si>
    <t>o-Dichlorobenzene</t>
  </si>
  <si>
    <t>Dichloromethane</t>
  </si>
  <si>
    <t>Diethylene glycol</t>
  </si>
  <si>
    <t>Dimethyl Acetamide</t>
  </si>
  <si>
    <t>N,N-Dimethylformamide</t>
  </si>
  <si>
    <t>Dimethyl Sulfoxide</t>
  </si>
  <si>
    <t>Dodecane</t>
  </si>
  <si>
    <t>Ethane</t>
  </si>
  <si>
    <t>Ether</t>
  </si>
  <si>
    <t>Ethylamine</t>
  </si>
  <si>
    <t>Ethyl Acetate</t>
  </si>
  <si>
    <t>Ethyl Alcohol (Ethanol, pure alcohol, grain alcohol or drinking alcohol)</t>
  </si>
  <si>
    <t>Ethyl Ether</t>
  </si>
  <si>
    <t>Ethylene Dichloride</t>
  </si>
  <si>
    <t>Ethylene glycol</t>
  </si>
  <si>
    <t>Trichlorofluoromethane refrigerant R-11</t>
  </si>
  <si>
    <t>Dichlorodifluoromethane refrigerant R-12</t>
  </si>
  <si>
    <t>Chlorodifluoromethane refrigerant R-22</t>
  </si>
  <si>
    <t>Formaldehyde</t>
  </si>
  <si>
    <t>Formic acid 10% concentration</t>
  </si>
  <si>
    <t>Formic acid 80% concentration</t>
  </si>
  <si>
    <t>Fuel oil</t>
  </si>
  <si>
    <t>Furan</t>
  </si>
  <si>
    <t>Furforol</t>
  </si>
  <si>
    <t>Gasoline, natural</t>
  </si>
  <si>
    <t>Gasoline, Vehicle</t>
  </si>
  <si>
    <t>Gas oils</t>
  </si>
  <si>
    <t>Glucose</t>
  </si>
  <si>
    <t>1350 - 1440</t>
  </si>
  <si>
    <t>Glycerine</t>
  </si>
  <si>
    <t>Glycerol</t>
  </si>
  <si>
    <t>Heating oil</t>
  </si>
  <si>
    <t>Heptane</t>
  </si>
  <si>
    <t>Hexane</t>
  </si>
  <si>
    <t>Hexanol</t>
  </si>
  <si>
    <t>Hexene</t>
  </si>
  <si>
    <t>Hydrazine</t>
  </si>
  <si>
    <t>Ionene</t>
  </si>
  <si>
    <t>Isobutyl Alcohol</t>
  </si>
  <si>
    <t>Iso-Octane</t>
  </si>
  <si>
    <t>Isopropyl Alcohol</t>
  </si>
  <si>
    <t>Isopropyl Myristate</t>
  </si>
  <si>
    <t>Linolenic Acid</t>
  </si>
  <si>
    <t>Linseed oil</t>
  </si>
  <si>
    <t>Machine oil</t>
  </si>
  <si>
    <t>Mercury</t>
  </si>
  <si>
    <t>Methane</t>
  </si>
  <si>
    <t>Methyl Isoamyl Ketone</t>
  </si>
  <si>
    <t>Methyl Isobutyl Ketone</t>
  </si>
  <si>
    <t>Methyl n-Propyl Ketone</t>
  </si>
  <si>
    <t>Methyl t-Butyl Ether</t>
  </si>
  <si>
    <t>N-Methylpyrrolidone</t>
  </si>
  <si>
    <t>Methyl Ethyl Ketone</t>
  </si>
  <si>
    <t>Milk</t>
  </si>
  <si>
    <t>1020 - 1050</t>
  </si>
  <si>
    <t>Naphtha</t>
  </si>
  <si>
    <t>Naphtha, wood</t>
  </si>
  <si>
    <t>Napthalene</t>
  </si>
  <si>
    <t>Nitric acid</t>
  </si>
  <si>
    <t>Ocimene</t>
  </si>
  <si>
    <t>Octane</t>
  </si>
  <si>
    <t>Oil of resin</t>
  </si>
  <si>
    <t>Oil of turpentine</t>
  </si>
  <si>
    <t>Oil, lubricating</t>
  </si>
  <si>
    <t>Olive oil</t>
  </si>
  <si>
    <t>800 - 920</t>
  </si>
  <si>
    <t>Oxygen (liquid)</t>
  </si>
  <si>
    <t>Paraffin</t>
  </si>
  <si>
    <t>Palmitic Acid</t>
  </si>
  <si>
    <t>Pentane</t>
  </si>
  <si>
    <t>Perchlor ethylene</t>
  </si>
  <si>
    <t>Petroleum Ether</t>
  </si>
  <si>
    <t>Petrol, natural</t>
  </si>
  <si>
    <t>Petrol, Vehicle</t>
  </si>
  <si>
    <t>Phenol</t>
  </si>
  <si>
    <t>Phosgene</t>
  </si>
  <si>
    <t>Phytadiene</t>
  </si>
  <si>
    <t>Pinene</t>
  </si>
  <si>
    <t>Propane</t>
  </si>
  <si>
    <t>Propane, R-290</t>
  </si>
  <si>
    <t>Propanol</t>
  </si>
  <si>
    <t>Propylenearbonate</t>
  </si>
  <si>
    <t>Propylene</t>
  </si>
  <si>
    <t>Propylene glycol</t>
  </si>
  <si>
    <t>Pyridine</t>
  </si>
  <si>
    <t>Pyrrole</t>
  </si>
  <si>
    <t>Rape seed oil</t>
  </si>
  <si>
    <t>Resorcinol</t>
  </si>
  <si>
    <t>Rosin oil</t>
  </si>
  <si>
    <t>Sea water</t>
  </si>
  <si>
    <t>Silane</t>
  </si>
  <si>
    <t>Silicone oil</t>
  </si>
  <si>
    <t>965 - 980</t>
  </si>
  <si>
    <t>Sodium Hydroxide (caustic soda)</t>
  </si>
  <si>
    <t>Sorbaldehyde</t>
  </si>
  <si>
    <t>Soya bean oil</t>
  </si>
  <si>
    <t>924 - 928</t>
  </si>
  <si>
    <t>Stearic Acid</t>
  </si>
  <si>
    <t>Sulfuric Acid 95% concentration</t>
  </si>
  <si>
    <t>Sulfurus acid</t>
  </si>
  <si>
    <t>Sugar solution 68 brix</t>
  </si>
  <si>
    <t>Sunflower oil</t>
  </si>
  <si>
    <t>Styrene</t>
  </si>
  <si>
    <t>Terpinene</t>
  </si>
  <si>
    <t>Tetrahydrofuran</t>
  </si>
  <si>
    <t>Toluene</t>
  </si>
  <si>
    <t>Trichlor ethylene</t>
  </si>
  <si>
    <t>Triethylamine</t>
  </si>
  <si>
    <t>Trifluoroacetic Acid</t>
  </si>
  <si>
    <t>Turpentine</t>
  </si>
  <si>
    <t>Water, heavy</t>
  </si>
  <si>
    <t>Water - pure</t>
  </si>
  <si>
    <t>Water - sea</t>
  </si>
  <si>
    <r>
      <t>77</t>
    </r>
    <r>
      <rPr>
        <vertAlign val="superscript"/>
        <sz val="12"/>
        <color theme="1"/>
        <rFont val="Calibri"/>
        <family val="2"/>
        <scheme val="minor"/>
      </rPr>
      <t>o</t>
    </r>
    <r>
      <rPr>
        <sz val="12"/>
        <color theme="1"/>
        <rFont val="Calibri"/>
        <family val="2"/>
        <scheme val="minor"/>
      </rPr>
      <t>F</t>
    </r>
  </si>
  <si>
    <t>Whale oil</t>
  </si>
  <si>
    <t>o-Xylene</t>
  </si>
  <si>
    <t>lbs./ft^3</t>
  </si>
  <si>
    <r>
      <t>Crude (API 40</t>
    </r>
    <r>
      <rPr>
        <vertAlign val="superscript"/>
        <sz val="12"/>
        <color theme="1"/>
        <rFont val="Calibri"/>
        <family val="2"/>
        <scheme val="minor"/>
      </rPr>
      <t>0</t>
    </r>
    <r>
      <rPr>
        <sz val="12"/>
        <color theme="1"/>
        <rFont val="Calibri"/>
        <family val="2"/>
        <scheme val="minor"/>
      </rPr>
      <t>) at 60</t>
    </r>
    <r>
      <rPr>
        <vertAlign val="superscript"/>
        <sz val="12"/>
        <color theme="1"/>
        <rFont val="Calibri"/>
        <family val="2"/>
        <scheme val="minor"/>
      </rPr>
      <t>0</t>
    </r>
    <r>
      <rPr>
        <sz val="12"/>
        <color theme="1"/>
        <rFont val="Calibri"/>
        <family val="2"/>
        <scheme val="minor"/>
      </rPr>
      <t>F</t>
    </r>
  </si>
  <si>
    <r>
      <t>Fuel oil no. 2 (average @60</t>
    </r>
    <r>
      <rPr>
        <vertAlign val="superscript"/>
        <sz val="12"/>
        <color theme="1"/>
        <rFont val="Calibri"/>
        <family val="2"/>
        <scheme val="minor"/>
      </rPr>
      <t>0</t>
    </r>
    <r>
      <rPr>
        <sz val="12"/>
        <color theme="1"/>
        <rFont val="Calibri"/>
        <family val="2"/>
        <scheme val="minor"/>
      </rPr>
      <t>F)</t>
    </r>
  </si>
  <si>
    <t>Motor phase</t>
  </si>
  <si>
    <t xml:space="preserve">Supply voltage </t>
  </si>
  <si>
    <t>Volts</t>
  </si>
  <si>
    <t xml:space="preserve">Average current </t>
  </si>
  <si>
    <t>Amps</t>
  </si>
  <si>
    <t>Power factor (average value)  (Default=0.85)</t>
  </si>
  <si>
    <t>% Operating time (as % of total time) (Default=100%)</t>
  </si>
  <si>
    <t>Electrical power use</t>
  </si>
  <si>
    <t>kWh</t>
  </si>
  <si>
    <t>Motor 1</t>
  </si>
  <si>
    <t>Motor 2</t>
  </si>
  <si>
    <t>Motor 3</t>
  </si>
  <si>
    <t>Motor 4</t>
  </si>
  <si>
    <t>Motor 5</t>
  </si>
  <si>
    <t>Motor 6</t>
  </si>
  <si>
    <t>Motor 7</t>
  </si>
  <si>
    <t xml:space="preserve">Data </t>
  </si>
  <si>
    <t>Units</t>
  </si>
  <si>
    <t>Heating</t>
  </si>
  <si>
    <t>Cooling &amp; refrigeration</t>
  </si>
  <si>
    <t>Other uses of electricity</t>
  </si>
  <si>
    <t xml:space="preserve">Fuel fired system </t>
  </si>
  <si>
    <t>Electrotechnology - Hybrid System</t>
  </si>
  <si>
    <t>Water</t>
  </si>
  <si>
    <t>gpm</t>
  </si>
  <si>
    <t>scfm</t>
  </si>
  <si>
    <t>Flow rate - liquid</t>
  </si>
  <si>
    <t>Flow rate - gas</t>
  </si>
  <si>
    <t xml:space="preserve">Cost per unit </t>
  </si>
  <si>
    <t>$/unit (see note)</t>
  </si>
  <si>
    <t>Cost per hour of operation</t>
  </si>
  <si>
    <t>Note</t>
  </si>
  <si>
    <t>$/operating hour</t>
  </si>
  <si>
    <t>$/hour</t>
  </si>
  <si>
    <t xml:space="preserve">No. of employees </t>
  </si>
  <si>
    <t>Supervisor</t>
  </si>
  <si>
    <t>Operators</t>
  </si>
  <si>
    <t>Helpers</t>
  </si>
  <si>
    <t xml:space="preserve">No. </t>
  </si>
  <si>
    <t>No. of hours per day for each employee</t>
  </si>
  <si>
    <t xml:space="preserve">Salary/labor rate (see note below) </t>
  </si>
  <si>
    <t xml:space="preserve">$/hour </t>
  </si>
  <si>
    <t>Cost per day of operation</t>
  </si>
  <si>
    <t xml:space="preserve">No. of days per year </t>
  </si>
  <si>
    <t>Cost per year</t>
  </si>
  <si>
    <t>Days/year</t>
  </si>
  <si>
    <t xml:space="preserve">Labor cost calculations </t>
  </si>
  <si>
    <t xml:space="preserve">Maintenance cost per year </t>
  </si>
  <si>
    <t xml:space="preserve">Other material cost calculations </t>
  </si>
  <si>
    <t>Flux</t>
  </si>
  <si>
    <t>Cost</t>
  </si>
  <si>
    <t>Lbs./unit</t>
  </si>
  <si>
    <t>gallons/unit</t>
  </si>
  <si>
    <t>scf/unit</t>
  </si>
  <si>
    <t>Other-specify/unit</t>
  </si>
  <si>
    <t>Cost ($/unit)</t>
  </si>
  <si>
    <t>Usage</t>
  </si>
  <si>
    <t>Blanket gas</t>
  </si>
  <si>
    <t xml:space="preserve">Additive </t>
  </si>
  <si>
    <t>Usage (see note)</t>
  </si>
  <si>
    <t xml:space="preserve">Total cost for other material used </t>
  </si>
  <si>
    <t>$/unit of production</t>
  </si>
  <si>
    <t>Additive materials</t>
  </si>
  <si>
    <t>The term "unit" refers or means to the unit of production used in the calculator.  For example if the unit of production stated in the input data "Unit of production for the material" is tons then the quantity "Lbs./unit" should be in terms of "Lbs./ton of production".</t>
  </si>
  <si>
    <t>Measurement method</t>
  </si>
  <si>
    <t>Type of energy used</t>
  </si>
  <si>
    <t>scf/hr.</t>
  </si>
  <si>
    <t>Measured fuel use in terms of per hour</t>
  </si>
  <si>
    <t xml:space="preserve">Heating value of the fuel </t>
  </si>
  <si>
    <t>Energy used per hour</t>
  </si>
  <si>
    <t xml:space="preserve">Efficiency method </t>
  </si>
  <si>
    <t xml:space="preserve">Theoretical energy use </t>
  </si>
  <si>
    <t>Type of material processed</t>
  </si>
  <si>
    <t xml:space="preserve">Fuel energy use estimate method </t>
  </si>
  <si>
    <t xml:space="preserve">Heat Balance method </t>
  </si>
  <si>
    <t>Supplier Method</t>
  </si>
  <si>
    <t xml:space="preserve">MM Btu/hr. </t>
  </si>
  <si>
    <t>MM Btu/hr.</t>
  </si>
  <si>
    <t xml:space="preserve">Hrs. </t>
  </si>
  <si>
    <t>$/hr.</t>
  </si>
  <si>
    <t>Maintenance material cost per year</t>
  </si>
  <si>
    <t xml:space="preserve">Other cost </t>
  </si>
  <si>
    <t xml:space="preserve">Other cost (+ number) or credit (-ve number) </t>
  </si>
  <si>
    <t>Electricity supply phase</t>
  </si>
  <si>
    <t xml:space="preserve">Measured current </t>
  </si>
  <si>
    <r>
      <t>W</t>
    </r>
    <r>
      <rPr>
        <i/>
        <vertAlign val="subscript"/>
        <sz val="12"/>
        <color theme="1"/>
        <rFont val="Calibri"/>
        <family val="2"/>
        <scheme val="minor"/>
      </rPr>
      <t>applied</t>
    </r>
    <r>
      <rPr>
        <i/>
        <sz val="12"/>
        <color theme="1"/>
        <rFont val="Calibri"/>
        <family val="2"/>
        <scheme val="minor"/>
      </rPr>
      <t xml:space="preserve"> = 3</t>
    </r>
    <r>
      <rPr>
        <i/>
        <vertAlign val="superscript"/>
        <sz val="12"/>
        <color theme="1"/>
        <rFont val="Calibri"/>
        <family val="2"/>
        <scheme val="minor"/>
      </rPr>
      <t>1/2</t>
    </r>
    <r>
      <rPr>
        <i/>
        <sz val="12"/>
        <color theme="1"/>
        <rFont val="Calibri"/>
        <family val="2"/>
        <scheme val="minor"/>
      </rPr>
      <t xml:space="preserve"> U I cos Φ</t>
    </r>
  </si>
  <si>
    <r>
      <t>             = 3</t>
    </r>
    <r>
      <rPr>
        <i/>
        <vertAlign val="superscript"/>
        <sz val="12"/>
        <color theme="1"/>
        <rFont val="Calibri"/>
        <family val="2"/>
        <scheme val="minor"/>
      </rPr>
      <t>1/2</t>
    </r>
    <r>
      <rPr>
        <i/>
        <sz val="12"/>
        <color theme="1"/>
        <rFont val="Calibri"/>
        <family val="2"/>
        <scheme val="minor"/>
      </rPr>
      <t> U I PF        (1)</t>
    </r>
  </si>
  <si>
    <t>where</t>
  </si>
  <si>
    <r>
      <t>W</t>
    </r>
    <r>
      <rPr>
        <i/>
        <vertAlign val="subscript"/>
        <sz val="12"/>
        <color theme="1"/>
        <rFont val="Calibri"/>
        <family val="2"/>
        <scheme val="minor"/>
      </rPr>
      <t>applied</t>
    </r>
    <r>
      <rPr>
        <i/>
        <sz val="12"/>
        <color theme="1"/>
        <rFont val="Calibri"/>
        <family val="2"/>
        <scheme val="minor"/>
      </rPr>
      <t xml:space="preserve"> = real power (W, watts)</t>
    </r>
  </si>
  <si>
    <t>U = voltage (V, volts)</t>
  </si>
  <si>
    <t>I = current (A, amps)</t>
  </si>
  <si>
    <t>PF = cos Φ = power factor (0.7 - 0.95) </t>
  </si>
  <si>
    <r>
      <t>For pure resistive load: </t>
    </r>
    <r>
      <rPr>
        <i/>
        <sz val="12"/>
        <color theme="1"/>
        <rFont val="Calibri"/>
        <family val="2"/>
        <scheme val="minor"/>
      </rPr>
      <t>PF = cos Φ = 1</t>
    </r>
    <r>
      <rPr>
        <sz val="12"/>
        <color theme="1"/>
        <rFont val="Calibri"/>
        <family val="2"/>
        <scheme val="minor"/>
      </rPr>
      <t> </t>
    </r>
  </si>
  <si>
    <r>
      <t>resistive loads</t>
    </r>
    <r>
      <rPr>
        <sz val="12"/>
        <color theme="1"/>
        <rFont val="Calibri"/>
        <family val="2"/>
        <scheme val="minor"/>
      </rPr>
      <t xml:space="preserve"> converts current into other forms of energy, such as heat</t>
    </r>
  </si>
  <si>
    <r>
      <t>inductive loads</t>
    </r>
    <r>
      <rPr>
        <sz val="12"/>
        <color theme="1"/>
        <rFont val="Calibri"/>
        <family val="2"/>
        <scheme val="minor"/>
      </rPr>
      <t xml:space="preserve"> use magnetic fields like motors, solenoids, and relays</t>
    </r>
  </si>
  <si>
    <t>Power Factor</t>
  </si>
  <si>
    <t>Typical power factors:</t>
  </si>
  <si>
    <t>Lamp, incandescent</t>
  </si>
  <si>
    <t>Motor, induction 100% load</t>
  </si>
  <si>
    <t>Motor, induction 50% load</t>
  </si>
  <si>
    <t>Motor, induction 0% load</t>
  </si>
  <si>
    <t>Motor, synchronous</t>
  </si>
  <si>
    <t>Oven, resistive heating element</t>
  </si>
  <si>
    <t>Oven, induction compensated</t>
  </si>
  <si>
    <t>Pure resistive load</t>
  </si>
  <si>
    <t>Power factor</t>
  </si>
  <si>
    <t>Real power used</t>
  </si>
  <si>
    <t>kW</t>
  </si>
  <si>
    <t xml:space="preserve">Electrical energy use estimate method </t>
  </si>
  <si>
    <t>Current system</t>
  </si>
  <si>
    <t>Hybrid system</t>
  </si>
  <si>
    <t>Fuel fired</t>
  </si>
  <si>
    <t>Hybrid</t>
  </si>
  <si>
    <t xml:space="preserve">Energy use for processing solid material </t>
  </si>
  <si>
    <t>Efficiency</t>
  </si>
  <si>
    <t xml:space="preserve">Heat required per lb. </t>
  </si>
  <si>
    <t>Gas/Vapor</t>
  </si>
  <si>
    <t xml:space="preserve">Density of gas </t>
  </si>
  <si>
    <t>lb./scf</t>
  </si>
  <si>
    <t>Specific weight/density</t>
  </si>
  <si>
    <t>lbs./gallon</t>
  </si>
  <si>
    <t xml:space="preserve">Percentage energy supplied by fuel firing </t>
  </si>
  <si>
    <t xml:space="preserve">Energy used per hour from fuel firing </t>
  </si>
  <si>
    <t xml:space="preserve">Percentage energy supplied by electricity </t>
  </si>
  <si>
    <t>Energy used per hour from electricity</t>
  </si>
  <si>
    <t>Energy (from fuel) use given by the supplier</t>
  </si>
  <si>
    <t>Energy (electrical) use given by the supplier</t>
  </si>
  <si>
    <t>Maintenance cost per ton</t>
  </si>
  <si>
    <t xml:space="preserve">$/ton </t>
  </si>
  <si>
    <t xml:space="preserve">Cost of production/ton shipped </t>
  </si>
  <si>
    <t xml:space="preserve">Product (tons) processed </t>
  </si>
  <si>
    <t>based on tons processed</t>
  </si>
  <si>
    <t xml:space="preserve">Total energy use per ton </t>
  </si>
  <si>
    <t>Cost ratio per ton shipped: (Fuel fired/electrotechnology)</t>
  </si>
  <si>
    <t xml:space="preserve">Years </t>
  </si>
  <si>
    <t xml:space="preserve">Energy supplied by fuel firing </t>
  </si>
  <si>
    <t xml:space="preserve">Energy supplied by electric heating system </t>
  </si>
  <si>
    <t>Heat required per gallon</t>
  </si>
  <si>
    <t>Btu/gallon</t>
  </si>
  <si>
    <t>Btu/scf</t>
  </si>
  <si>
    <t>kg./hr.</t>
  </si>
  <si>
    <t>tons/hr.</t>
  </si>
  <si>
    <t>liter/hr.</t>
  </si>
  <si>
    <t>m^3/hr.</t>
  </si>
  <si>
    <t xml:space="preserve">Production rate (In stated units) </t>
  </si>
  <si>
    <t>Production rate (in lbs./hr)</t>
  </si>
  <si>
    <t>Conversion from</t>
  </si>
  <si>
    <t>to</t>
  </si>
  <si>
    <t>$/#</t>
  </si>
  <si>
    <t xml:space="preserve">multiply by </t>
  </si>
  <si>
    <t>For Liquid</t>
  </si>
  <si>
    <t xml:space="preserve">$/gallon </t>
  </si>
  <si>
    <t>Property</t>
  </si>
  <si>
    <t xml:space="preserve">Lbs./gallon </t>
  </si>
  <si>
    <t>$/kg</t>
  </si>
  <si>
    <t>$/liter</t>
  </si>
  <si>
    <t>Cost Summary Report</t>
  </si>
  <si>
    <t xml:space="preserve">Gas/Vapor </t>
  </si>
  <si>
    <t>Step</t>
  </si>
  <si>
    <t xml:space="preserve">Description </t>
  </si>
  <si>
    <t>Production rate (in lbs./hr.)</t>
  </si>
  <si>
    <t>Lbs./hr.</t>
  </si>
  <si>
    <t xml:space="preserve">fluxes, repair material etc. </t>
  </si>
  <si>
    <t xml:space="preserve">Expected or accounting life of the equipment for amortization calculations </t>
  </si>
  <si>
    <t>Supply voltage</t>
  </si>
  <si>
    <t>Thermal efficiency (based on fuel use) of the equipment from the supplier or other source</t>
  </si>
  <si>
    <t>Thermal efficiency of the equipment electrical system from the supplier or other source</t>
  </si>
  <si>
    <t xml:space="preserve">Use PHASTEx, PHAST or other similar program to calculate energy requirement </t>
  </si>
  <si>
    <t xml:space="preserve">Use PHAST 3.0 or other similar program to calculate energy requirement </t>
  </si>
  <si>
    <t>Lamp, fluorescent uncompensated</t>
  </si>
  <si>
    <t>Lamp, fluorescent compensated</t>
  </si>
  <si>
    <t xml:space="preserve">Man-hours spent on maintenance per year </t>
  </si>
  <si>
    <t xml:space="preserve">Outside service contractor bill </t>
  </si>
  <si>
    <t>Total maintenance cost/year</t>
  </si>
  <si>
    <t xml:space="preserve">Based on latent heat of 970 Btu/lb. of water evaporated </t>
  </si>
  <si>
    <t>Assume specific heat = 1.0 Btu/(lb. F.) for retained water</t>
  </si>
  <si>
    <t xml:space="preserve">Heat required for heating molten material </t>
  </si>
  <si>
    <t>kWh/hr.</t>
  </si>
  <si>
    <t>Btu/(lb.-F)</t>
  </si>
  <si>
    <t>lb./hr.</t>
  </si>
  <si>
    <t>Additional electricity use</t>
  </si>
  <si>
    <t>Electrochemical use</t>
  </si>
  <si>
    <t>Total electrical power use</t>
  </si>
  <si>
    <t>Process atmosphere</t>
  </si>
  <si>
    <t xml:space="preserve">Total cost for other utilities </t>
  </si>
  <si>
    <t xml:space="preserve">Select the type of material processed in the heating system to see the cost report. </t>
  </si>
  <si>
    <t xml:space="preserve">A cost report is prepared for each case analyzed.  A report for a given case can be accessed by clicking on one of the buttons given below.  The report provides detail cost given in terms of cost expressed as $/unit of measurement selected for the analysis.  For example, depending on the unit selected (i.e. lb./hr. or kg./hr. or tons/hr.) for energy use analysis for solid material the cost breakdown is given in terms of $/lb. or $/kg. or $/ton.  The report also includes a pie-chart showing cost distribution in each case.  The cost breakdown comparison is also shown as a bar chart. </t>
  </si>
  <si>
    <t>Water use module</t>
  </si>
  <si>
    <t xml:space="preserve">Process water use </t>
  </si>
  <si>
    <t xml:space="preserve">gpm </t>
  </si>
  <si>
    <t>Electrical/Hybrid</t>
  </si>
  <si>
    <t>Total water use</t>
  </si>
  <si>
    <t>gallons/year</t>
  </si>
  <si>
    <t>$/1000 gallons</t>
  </si>
  <si>
    <t>http://spectrum.ieee.org/energy/environment/how-much-water-does-it-take-to-make-electricity</t>
  </si>
  <si>
    <t xml:space="preserve">Water use 'efficiency" electricity production </t>
  </si>
  <si>
    <t xml:space="preserve">Liters/1000 kWh </t>
  </si>
  <si>
    <t>Source of electricity *</t>
  </si>
  <si>
    <t>Cost of water use (all inclusive)**</t>
  </si>
  <si>
    <t xml:space="preserve">** All inclusive cost inclues cost of water, water treatment, discharge cost etc. </t>
  </si>
  <si>
    <t>From the list</t>
  </si>
  <si>
    <t>Aux. equipment electricity use related</t>
  </si>
  <si>
    <t>Process energy use related</t>
  </si>
  <si>
    <t>gph</t>
  </si>
  <si>
    <t xml:space="preserve">Units </t>
  </si>
  <si>
    <t>Electricity use for Process heating</t>
  </si>
  <si>
    <t xml:space="preserve">Electricity use for auxillary systems </t>
  </si>
  <si>
    <t>kWh/hr</t>
  </si>
  <si>
    <t xml:space="preserve">gph </t>
  </si>
  <si>
    <t xml:space="preserve">Number of hours/year </t>
  </si>
  <si>
    <t xml:space="preserve">Cost of water per year </t>
  </si>
  <si>
    <t>Other water use by auxilliary and other systems or use</t>
  </si>
  <si>
    <t xml:space="preserve">Water use (US Gallons/Year - gpy) </t>
  </si>
  <si>
    <t xml:space="preserve">See water use module for details </t>
  </si>
  <si>
    <t>Electric</t>
  </si>
  <si>
    <t>Conventional</t>
  </si>
  <si>
    <t>Unlock</t>
  </si>
  <si>
    <t>PHASTEx_- US Units For Excel v1.01.xls</t>
  </si>
  <si>
    <t xml:space="preserve">         Developed by E3M Inc. under contract with Oak Ridge National Laboratory</t>
  </si>
  <si>
    <t>What is PHASTEx?</t>
  </si>
  <si>
    <t>Control Page</t>
  </si>
  <si>
    <t>Enter Data</t>
  </si>
  <si>
    <t>Items</t>
  </si>
  <si>
    <t>Overview of Process Heating Systems</t>
  </si>
  <si>
    <t xml:space="preserve">    Energy Use</t>
  </si>
  <si>
    <t xml:space="preserve">    Maintenance Cost</t>
  </si>
  <si>
    <t xml:space="preserve">    Other Utilities</t>
  </si>
  <si>
    <t xml:space="preserve">    Other Materials Cost</t>
  </si>
  <si>
    <t xml:space="preserve">    Labor Cost</t>
  </si>
  <si>
    <t xml:space="preserve">    Water Use Module</t>
  </si>
  <si>
    <t xml:space="preserve">    Guide - Instructions</t>
  </si>
  <si>
    <t xml:space="preserve">  Supporting Calculators</t>
  </si>
  <si>
    <t xml:space="preserve">Electrotechnology vs Fuel Fired Thermal Processing                                  Cost Comparison Model </t>
  </si>
  <si>
    <t>Instruction</t>
  </si>
  <si>
    <t xml:space="preserve">Guidance on using the tool  </t>
  </si>
  <si>
    <t>Main input page for the tool</t>
  </si>
  <si>
    <t xml:space="preserve">Facility Level Impact </t>
  </si>
  <si>
    <t>Impact on Product's Lifecycle</t>
  </si>
  <si>
    <t xml:space="preserve">    Other Impacts</t>
  </si>
  <si>
    <t xml:space="preserve">Qualitative Analysis of the Impacts </t>
  </si>
  <si>
    <t>Qualitative Analysis of impacts to the facility and product</t>
  </si>
  <si>
    <t xml:space="preserve">The report provides detail cost given in terms of cost expressed as $/unit of measurement selected for the analysis. The report also includes a pie-chart showing cost distribution in each case.  The cost breakdown comparison is also shown as a bar chart				</t>
  </si>
  <si>
    <t xml:space="preserve">For more information on the LightenUp tool,  </t>
  </si>
  <si>
    <t>Heat Balance</t>
  </si>
  <si>
    <t>use tool (link above) or give estimated value. Please overwrite the formula in the cell with the estimated values if providing provided calculator is not used</t>
  </si>
  <si>
    <r>
      <t>Other Impacts:</t>
    </r>
    <r>
      <rPr>
        <sz val="12"/>
        <color theme="1"/>
        <rFont val="Calibri"/>
        <family val="2"/>
        <scheme val="minor"/>
      </rPr>
      <t xml:space="preserve"> Are there any other impacts that is not captured in the section above?</t>
    </r>
  </si>
  <si>
    <t>Yellow - Inputs Needed</t>
  </si>
  <si>
    <t>Orange - Cells with formulas; can be overwritten if required</t>
  </si>
  <si>
    <t>Electric System</t>
  </si>
  <si>
    <t>Maintenance Cost Estimate</t>
  </si>
  <si>
    <t xml:space="preserve">Compressed air </t>
  </si>
  <si>
    <t>Other Liquid 1</t>
  </si>
  <si>
    <t xml:space="preserve">Fuel fired systems </t>
  </si>
  <si>
    <t xml:space="preserve">Electric System </t>
  </si>
  <si>
    <t xml:space="preserve">Energy Use Calculations </t>
  </si>
  <si>
    <t xml:space="preserve">Total Labor Cost </t>
  </si>
  <si>
    <t>Total Labor Cost</t>
  </si>
  <si>
    <t>Give list of what is included</t>
  </si>
  <si>
    <t>Calculators for Theoretical Energy Requirement</t>
  </si>
  <si>
    <t>Yellow - user inputs needed</t>
  </si>
  <si>
    <t xml:space="preserve">Blue - Choose from dropdown </t>
  </si>
  <si>
    <t>Orange - Calculated based on user inputs; can be overwritten if required</t>
  </si>
  <si>
    <t>Index</t>
  </si>
  <si>
    <t>Electrical - Hybrid System</t>
  </si>
  <si>
    <t>Solids</t>
  </si>
  <si>
    <t>Liquids</t>
  </si>
  <si>
    <t>$/lbs.</t>
  </si>
  <si>
    <t>$/scfm</t>
  </si>
  <si>
    <t>$/m^3</t>
  </si>
  <si>
    <t>Other Impacts</t>
  </si>
  <si>
    <t>Impact on Production</t>
  </si>
  <si>
    <t>Impact on Upstream Process</t>
  </si>
  <si>
    <t>Impact on Downstream Process</t>
  </si>
  <si>
    <t>Impact on Product Quality</t>
  </si>
  <si>
    <t>Impact to Raw Materials</t>
  </si>
  <si>
    <t>Impact on Product's Life</t>
  </si>
  <si>
    <r>
      <rPr>
        <b/>
        <sz val="12"/>
        <color theme="1"/>
        <rFont val="Calibri"/>
        <family val="2"/>
        <scheme val="minor"/>
      </rPr>
      <t>Impact on Product Logistics</t>
    </r>
    <r>
      <rPr>
        <sz val="12"/>
        <color theme="1"/>
        <rFont val="Calibri"/>
        <family val="2"/>
        <scheme val="minor"/>
      </rPr>
      <t>: Does the supply chain strategy need to be changed?  (A change in the dimension/mass of the final product or the raw material required might cause this.)</t>
    </r>
  </si>
  <si>
    <t>Impact on Product Logistics</t>
  </si>
  <si>
    <t>Qualitative Impacts</t>
  </si>
  <si>
    <t>Cost Report</t>
  </si>
  <si>
    <t>311  Food Manufacturing</t>
  </si>
  <si>
    <t>3111  Animal Food Manufacturing</t>
  </si>
  <si>
    <t>31111  Animal Food Manufacturing</t>
  </si>
  <si>
    <t xml:space="preserve">311111  Dog and Cat Food Manufacturing </t>
  </si>
  <si>
    <t xml:space="preserve">311119  Other Animal Food Manufacturing </t>
  </si>
  <si>
    <t>3112  Grain and Oilseed Milling</t>
  </si>
  <si>
    <t>31121  Flour Milling and Malt Manufacturing</t>
  </si>
  <si>
    <t xml:space="preserve">311211  Flour Milling </t>
  </si>
  <si>
    <t xml:space="preserve">311212  Rice Milling </t>
  </si>
  <si>
    <t xml:space="preserve">311213  Malt Manufacturing </t>
  </si>
  <si>
    <t>31122  Starch and Vegetable Fats and Oils Manufacturing</t>
  </si>
  <si>
    <t xml:space="preserve">311221  Wet Corn Milling </t>
  </si>
  <si>
    <t xml:space="preserve">311224  Soybean and Other Oilseed Processing </t>
  </si>
  <si>
    <t xml:space="preserve">311225  Fats and Oils Refining and Blending </t>
  </si>
  <si>
    <t>31123  Breakfast Cereal Manufacturing</t>
  </si>
  <si>
    <t>311230  Breakfast Cereal Manufacturing</t>
  </si>
  <si>
    <t>3113  Sugar and Confectionery Product Manufacturing</t>
  </si>
  <si>
    <t>31131  Sugar Manufacturing</t>
  </si>
  <si>
    <t xml:space="preserve">311313  Beet Sugar Manufacturing </t>
  </si>
  <si>
    <t xml:space="preserve">311314  Cane Sugar Manufacturing </t>
  </si>
  <si>
    <t>31134  Nonchocolate Confectionery Manufacturing</t>
  </si>
  <si>
    <t>311340  Nonchocolate Confectionery Manufacturing</t>
  </si>
  <si>
    <t>31135  Chocolate and Confectionery Manufacturing</t>
  </si>
  <si>
    <t xml:space="preserve">311351  Chocolate and Confectionery Manufacturing from Cacao Beans </t>
  </si>
  <si>
    <t xml:space="preserve">311352  Confectionery Manufacturing from Purchased Chocolate </t>
  </si>
  <si>
    <t>3114  Fruit and Vegetable Preserving and Specialty Food Manufacturing</t>
  </si>
  <si>
    <t>31141  Frozen Food Manufacturing</t>
  </si>
  <si>
    <t xml:space="preserve">311411  Frozen Fruit, Juice, and Vegetable Manufacturing </t>
  </si>
  <si>
    <t xml:space="preserve">311412  Frozen Specialty Food Manufacturing </t>
  </si>
  <si>
    <t>31142  Fruit and Vegetable Canning, Pickling, and Drying</t>
  </si>
  <si>
    <t xml:space="preserve">311421  Fruit and Vegetable Canning </t>
  </si>
  <si>
    <t xml:space="preserve">311422  Specialty Canning </t>
  </si>
  <si>
    <t xml:space="preserve">311423  Dried and Dehydrated Food Manufacturing </t>
  </si>
  <si>
    <t>3115  Dairy Product Manufacturing</t>
  </si>
  <si>
    <t>31151  Dairy Product (except Frozen) Manufacturing</t>
  </si>
  <si>
    <t xml:space="preserve">311511  Fluid Milk Manufacturing </t>
  </si>
  <si>
    <t xml:space="preserve">311512  Creamery Butter Manufacturing </t>
  </si>
  <si>
    <t xml:space="preserve">311513  Cheese Manufacturing </t>
  </si>
  <si>
    <t xml:space="preserve">311514  Dry, Condensed, and Evaporated Dairy Product Manufacturing </t>
  </si>
  <si>
    <t>31152  Ice Cream and Frozen Dessert Manufacturing</t>
  </si>
  <si>
    <t>311520  Ice Cream and Frozen Dessert Manufacturing</t>
  </si>
  <si>
    <t>3116  Animal Slaughtering and Processing</t>
  </si>
  <si>
    <t>31161  Animal Slaughtering and Processing</t>
  </si>
  <si>
    <t xml:space="preserve">311611  Animal (except Poultry) Slaughtering </t>
  </si>
  <si>
    <t xml:space="preserve">311612  Meat Processed from Carcasses </t>
  </si>
  <si>
    <t xml:space="preserve">311613  Rendering and Meat Byproduct Processing </t>
  </si>
  <si>
    <t xml:space="preserve">311615  Poultry Processing </t>
  </si>
  <si>
    <t>3117  Seafood Product Preparation and Packaging</t>
  </si>
  <si>
    <t>31171  Seafood Product Preparation and Packaging</t>
  </si>
  <si>
    <t>311710  Seafood Product Preparation and Packaging</t>
  </si>
  <si>
    <t>3118  Bakeries and Tortilla Manufacturing</t>
  </si>
  <si>
    <t>31181  Bread and Bakery Product Manufacturing</t>
  </si>
  <si>
    <t xml:space="preserve">311811  Retail Bakeries </t>
  </si>
  <si>
    <t xml:space="preserve">311812  Commercial Bakeries </t>
  </si>
  <si>
    <t xml:space="preserve">311813  Frozen Cakes, Pies, and Other Pastries Manufacturing </t>
  </si>
  <si>
    <t>31182  Cookie, Cracker, and Pasta Manufacturing</t>
  </si>
  <si>
    <t xml:space="preserve">311821  Cookie and Cracker Manufacturing </t>
  </si>
  <si>
    <t xml:space="preserve">311824  Dry Pasta, Dough, and Flour Mixes Manufacturing from Purchased Flour </t>
  </si>
  <si>
    <t>31183  Tortilla Manufacturing</t>
  </si>
  <si>
    <t>311830  Tortilla Manufacturing</t>
  </si>
  <si>
    <t>3119  Other Food Manufacturing</t>
  </si>
  <si>
    <t>31191  Snack Food Manufacturing</t>
  </si>
  <si>
    <t xml:space="preserve">311911  Roasted Nuts and Peanut Butter Manufacturing </t>
  </si>
  <si>
    <t xml:space="preserve">311919  Other Snack Food Manufacturing </t>
  </si>
  <si>
    <t>31192  Coffee and Tea Manufacturing</t>
  </si>
  <si>
    <t xml:space="preserve">311920  Coffee and Tea Manufacturing </t>
  </si>
  <si>
    <t>31193  Flavoring Syrup and Concentrate Manufacturing</t>
  </si>
  <si>
    <t>311930  Flavoring Syrup and Concentrate Manufacturing</t>
  </si>
  <si>
    <t>31194  Seasoning and Dressing Manufacturing</t>
  </si>
  <si>
    <t xml:space="preserve">311941  Mayonnaise, Dressing, and Other Prepared Sauce Manufacturing </t>
  </si>
  <si>
    <t xml:space="preserve">311942  Spice and Extract Manufacturing </t>
  </si>
  <si>
    <t>31199  All Other Food Manufacturing</t>
  </si>
  <si>
    <t xml:space="preserve">311991  Perishable Prepared Food Manufacturing </t>
  </si>
  <si>
    <t xml:space="preserve">311999  All Other Miscellaneous Food Manufacturing </t>
  </si>
  <si>
    <t>312  Beverage and Tobacco Product Manufacturing</t>
  </si>
  <si>
    <t>3121  Beverage Manufacturing</t>
  </si>
  <si>
    <t>31211  Soft Drink and Ice Manufacturing</t>
  </si>
  <si>
    <t xml:space="preserve">312111  Soft Drink Manufacturing </t>
  </si>
  <si>
    <t xml:space="preserve">312112  Bottled Water Manufacturing </t>
  </si>
  <si>
    <t xml:space="preserve">312113  Ice Manufacturing </t>
  </si>
  <si>
    <t>31212  Breweries</t>
  </si>
  <si>
    <t>312120  Breweries</t>
  </si>
  <si>
    <t>31213  Wineries</t>
  </si>
  <si>
    <t xml:space="preserve">312130  Wineries </t>
  </si>
  <si>
    <t>31214  Distilleries</t>
  </si>
  <si>
    <t xml:space="preserve">312140  Distilleries </t>
  </si>
  <si>
    <t>3122  Tobacco Manufacturing</t>
  </si>
  <si>
    <t>31223  Tobacco Manufacturing</t>
  </si>
  <si>
    <t xml:space="preserve">312230  Tobacco Manufacturing </t>
  </si>
  <si>
    <t>313  Textile Mills</t>
  </si>
  <si>
    <t>3131  Fiber, Yarn, and Thread Mills</t>
  </si>
  <si>
    <t>31311  Fiber, Yarn, and Thread Mills</t>
  </si>
  <si>
    <t xml:space="preserve">313110  Fiber, Yarn, and Thread Mills </t>
  </si>
  <si>
    <t>3132  Fabric Mills</t>
  </si>
  <si>
    <t>31321  Broadwoven Fabric Mills</t>
  </si>
  <si>
    <t>313210  Broadwoven Fabric Mills</t>
  </si>
  <si>
    <t>31322  Narrow Fabric Mills and Schiffli Machine Embroidery</t>
  </si>
  <si>
    <t>313220  Narrow Fabric Mills and Schiffli Machine Embroidery</t>
  </si>
  <si>
    <t>31323  Nonwoven Fabric Mills</t>
  </si>
  <si>
    <t>313230  Nonwoven Fabric Mills</t>
  </si>
  <si>
    <t>31324  Knit Fabric Mills</t>
  </si>
  <si>
    <t>313240  Knit Fabric Mills</t>
  </si>
  <si>
    <t>3133  Textile and Fabric Finishing and Fabric Coating Mills</t>
  </si>
  <si>
    <t>31331  Textile and Fabric Finishing Mills</t>
  </si>
  <si>
    <t xml:space="preserve">313310  Textile and Fabric Finishing Mills </t>
  </si>
  <si>
    <t>31332  Fabric Coating Mills</t>
  </si>
  <si>
    <t>313320  Fabric Coating Mills</t>
  </si>
  <si>
    <t>314  Textile Product Mills</t>
  </si>
  <si>
    <t>3141  Textile Furnishings Mills</t>
  </si>
  <si>
    <t>31411  Carpet and Rug Mills</t>
  </si>
  <si>
    <t>314110  Carpet and Rug Mills</t>
  </si>
  <si>
    <t>31412  Curtain and Linen Mills</t>
  </si>
  <si>
    <t>314120  Curtain and Linen Mills</t>
  </si>
  <si>
    <t>3149  Other Textile Product Mills</t>
  </si>
  <si>
    <t>31491  Textile Bag and Canvas Mills</t>
  </si>
  <si>
    <t xml:space="preserve">314910  Textile Bag and Canvas Mills </t>
  </si>
  <si>
    <t>31499  All Other Textile Product Mills</t>
  </si>
  <si>
    <t xml:space="preserve">314994  Rope, Cordage, Twine, Tire Cord, and Tire Fabric Mills </t>
  </si>
  <si>
    <t xml:space="preserve">314999  All Other Miscellaneous Textile Product Mills </t>
  </si>
  <si>
    <t>315  Apparel Manufacturing</t>
  </si>
  <si>
    <t>3151  Apparel Knitting Mills</t>
  </si>
  <si>
    <t>31511  Hosiery and Sock Mills</t>
  </si>
  <si>
    <t>315110  Hosiery and Sock Mills</t>
  </si>
  <si>
    <t>31519  Other Apparel Knitting Mills</t>
  </si>
  <si>
    <t xml:space="preserve">315190  Other Apparel Knitting Mills </t>
  </si>
  <si>
    <t>3152  Cut and Sew Apparel Manufacturing</t>
  </si>
  <si>
    <t xml:space="preserve">31521  Cut and Sew Apparel Contractors </t>
  </si>
  <si>
    <t xml:space="preserve">315210  Cut and Sew Apparel Contractors </t>
  </si>
  <si>
    <t xml:space="preserve">31522  Men’s and Boys’ Cut and Sew Apparel Manufacturing </t>
  </si>
  <si>
    <t xml:space="preserve">315220  Men’s and Boys’ Cut and Sew Apparel Manufacturing </t>
  </si>
  <si>
    <t>31524  Women’s, Girls’, and Infants’ Cut and Sew Apparel Manufacturing</t>
  </si>
  <si>
    <t xml:space="preserve">315240  Women’s, Girls’, and Infants’ Cut and Sew Apparel Manufacturing </t>
  </si>
  <si>
    <t xml:space="preserve">31528  Other Cut and Sew Apparel Manufacturing </t>
  </si>
  <si>
    <t xml:space="preserve">315280  Other Cut and Sew Apparel Manufacturing </t>
  </si>
  <si>
    <t>3159  Apparel Accessories and Other Apparel Manufacturing</t>
  </si>
  <si>
    <t>31599  Apparel Accessories and Other Apparel Manufacturing</t>
  </si>
  <si>
    <t xml:space="preserve">315990  Apparel Accessories and Other Apparel Manufacturing </t>
  </si>
  <si>
    <t>316  Leather and Allied Product Manufacturing</t>
  </si>
  <si>
    <t>3161  Leather and Hide Tanning and Finishing</t>
  </si>
  <si>
    <t>31611  Leather and Hide Tanning and Finishing</t>
  </si>
  <si>
    <t>316110  Leather and Hide Tanning and Finishing</t>
  </si>
  <si>
    <t>3162  Footwear Manufacturing</t>
  </si>
  <si>
    <t>31621  Footwear Manufacturing</t>
  </si>
  <si>
    <t xml:space="preserve">316210  Footwear Manufacturing </t>
  </si>
  <si>
    <t>3169  Other Leather and Allied Product Manufacturing</t>
  </si>
  <si>
    <t>31699  Other Leather and Allied Product Manufacturing</t>
  </si>
  <si>
    <t xml:space="preserve">316992  Women's Handbag and Purse Manufacturing </t>
  </si>
  <si>
    <t xml:space="preserve">316998  All Other Leather Good and Allied Product Manufacturing </t>
  </si>
  <si>
    <t>321  Wood Product Manufacturing</t>
  </si>
  <si>
    <t>3211  Sawmills and Wood Preservation</t>
  </si>
  <si>
    <t>32111  Sawmills and Wood Preservation</t>
  </si>
  <si>
    <t xml:space="preserve">321113  Sawmills </t>
  </si>
  <si>
    <t xml:space="preserve">321114  Wood Preservation </t>
  </si>
  <si>
    <t>3212  Veneer, Plywood, and Engineered Wood Product Manufacturing</t>
  </si>
  <si>
    <t>32121  Veneer, Plywood, and Engineered Wood Product Manufacturing</t>
  </si>
  <si>
    <t xml:space="preserve">321211  Hardwood Veneer and Plywood Manufacturing </t>
  </si>
  <si>
    <t xml:space="preserve">321212  Softwood Veneer and Plywood Manufacturing </t>
  </si>
  <si>
    <t xml:space="preserve">321213  Engineered Wood Member (except Truss) Manufacturing </t>
  </si>
  <si>
    <t xml:space="preserve">321214  Truss Manufacturing </t>
  </si>
  <si>
    <t xml:space="preserve">321219  Reconstituted Wood Product Manufacturing </t>
  </si>
  <si>
    <t>3219  Other Wood Product Manufacturing</t>
  </si>
  <si>
    <t>32191  Millwork</t>
  </si>
  <si>
    <t xml:space="preserve">321911  Wood Window and Door Manufacturing </t>
  </si>
  <si>
    <t xml:space="preserve">321912  Cut Stock, Resawing Lumber, and Planing </t>
  </si>
  <si>
    <t xml:space="preserve">321918  Other Millwork (including Flooring) </t>
  </si>
  <si>
    <t>32192  Wood Container and Pallet Manufacturing</t>
  </si>
  <si>
    <t>321920  Wood Container and Pallet Manufacturing</t>
  </si>
  <si>
    <t>32199  All Other Wood Product Manufacturing</t>
  </si>
  <si>
    <t xml:space="preserve">321991  Manufactured Home (Mobile Home) Manufacturing </t>
  </si>
  <si>
    <t xml:space="preserve">321992  Prefabricated Wood Building Manufacturing </t>
  </si>
  <si>
    <t xml:space="preserve">321999  All Other Miscellaneous Wood Product Manufacturing </t>
  </si>
  <si>
    <t>322  Paper Manufacturing</t>
  </si>
  <si>
    <t>3221  Pulp, Paper, and Paperboard Mills</t>
  </si>
  <si>
    <t>32211  Pulp Mills</t>
  </si>
  <si>
    <t xml:space="preserve">322110  Pulp Mills </t>
  </si>
  <si>
    <t>32212  Paper Mills</t>
  </si>
  <si>
    <t xml:space="preserve">322121  Paper (except Newsprint) Mills </t>
  </si>
  <si>
    <t xml:space="preserve">322122  Newsprint Mills </t>
  </si>
  <si>
    <t>32213  Paperboard Mills</t>
  </si>
  <si>
    <t xml:space="preserve">322130  Paperboard Mills </t>
  </si>
  <si>
    <t>3222  Converted Paper Product Manufacturing</t>
  </si>
  <si>
    <t>32221  Paperboard Container Manufacturing</t>
  </si>
  <si>
    <t xml:space="preserve">322211  Corrugated and Solid Fiber Box Manufacturing </t>
  </si>
  <si>
    <t xml:space="preserve">322212  Folding Paperboard Box Manufacturing </t>
  </si>
  <si>
    <t xml:space="preserve">322219  Other Paperboard Container Manufacturing </t>
  </si>
  <si>
    <t>32222  Paper Bag and Coated and Treated Paper Manufacturing</t>
  </si>
  <si>
    <t>322220  Paper Bag and Coated and Treated Paper Manufacturing</t>
  </si>
  <si>
    <t>32223  Stationery Product Manufacturing</t>
  </si>
  <si>
    <t>322230  Stationery Product Manufacturing</t>
  </si>
  <si>
    <t>32229  Other Converted Paper Product Manufacturing</t>
  </si>
  <si>
    <t xml:space="preserve">322291  Sanitary Paper Product Manufacturing </t>
  </si>
  <si>
    <t xml:space="preserve">322299  All Other Converted Paper Product Manufacturing </t>
  </si>
  <si>
    <t>323  Printing and Related Support Activities</t>
  </si>
  <si>
    <t>3231  Printing and Related Support Activities</t>
  </si>
  <si>
    <t>32311  Printing</t>
  </si>
  <si>
    <t xml:space="preserve">323111  Commercial Printing (except Screen and Books) </t>
  </si>
  <si>
    <t xml:space="preserve">323113  Commercial Screen Printing </t>
  </si>
  <si>
    <t xml:space="preserve">323117  Books Printing </t>
  </si>
  <si>
    <t>32312  Support Activities for Printing</t>
  </si>
  <si>
    <t>323120  Support Activities for Printing</t>
  </si>
  <si>
    <t>324  Petroleum and Coal Products Manufacturing</t>
  </si>
  <si>
    <t>3241  Petroleum and Coal Products Manufacturing</t>
  </si>
  <si>
    <t>32411  Petroleum Refineries</t>
  </si>
  <si>
    <t>324110  Petroleum Refineries</t>
  </si>
  <si>
    <t>32412  Asphalt Paving, Roofing, and Saturated Materials Manufacturing</t>
  </si>
  <si>
    <t xml:space="preserve">324121  Asphalt Paving Mixture and Block Manufacturing </t>
  </si>
  <si>
    <t xml:space="preserve">324122  Asphalt Shingle and Coating Materials Manufacturing </t>
  </si>
  <si>
    <t>32419  Other Petroleum and Coal Products Manufacturing</t>
  </si>
  <si>
    <t xml:space="preserve">324191  Petroleum Lubricating Oil and Grease Manufacturing </t>
  </si>
  <si>
    <t xml:space="preserve">324199  All Other Petroleum and Coal Products Manufacturing </t>
  </si>
  <si>
    <t>325  Chemical Manufacturing</t>
  </si>
  <si>
    <t>3251  Basic Chemical Manufacturing</t>
  </si>
  <si>
    <t>32511  Petrochemical Manufacturing</t>
  </si>
  <si>
    <t>325110  Petrochemical Manufacturing</t>
  </si>
  <si>
    <t>32512  Industrial Gas Manufacturing</t>
  </si>
  <si>
    <t>325120  Industrial Gas Manufacturing</t>
  </si>
  <si>
    <t>32513  Synthetic Dye and Pigment Manufacturing</t>
  </si>
  <si>
    <t>325130  Synthetic Dye and Pigment Manufacturing</t>
  </si>
  <si>
    <t>32518  Other Basic Inorganic Chemical Manufacturing</t>
  </si>
  <si>
    <t xml:space="preserve">325180  Other Basic Inorganic Chemical Manufacturing </t>
  </si>
  <si>
    <t>32519  Other Basic Organic Chemical Manufacturing</t>
  </si>
  <si>
    <t xml:space="preserve">325193  Ethyl Alcohol Manufacturing </t>
  </si>
  <si>
    <t xml:space="preserve">325194  Cyclic Crude, Intermediate, and Gum and Wood Chemical Manufacturing </t>
  </si>
  <si>
    <t xml:space="preserve">325199  All Other Basic Organic Chemical Manufacturing </t>
  </si>
  <si>
    <t>3252  Resin, Synthetic Rubber, and Artificial and Synthetic Fibers and Filaments Manufacturing</t>
  </si>
  <si>
    <t>32521  Resin and Synthetic Rubber Manufacturing</t>
  </si>
  <si>
    <t xml:space="preserve">325211  Plastics Material and Resin Manufacturing </t>
  </si>
  <si>
    <t xml:space="preserve">325212  Synthetic Rubber Manufacturing </t>
  </si>
  <si>
    <t>32522  Artificial and Synthetic Fibers and Filaments Manufacturing</t>
  </si>
  <si>
    <t>325220  Artificial and Synthetic Fibers and Filaments Manufacturing</t>
  </si>
  <si>
    <t>3253  Pesticide, Fertilizer, and Other Agricultural Chemical Manufacturing</t>
  </si>
  <si>
    <t>32531  Fertilizer Manufacturing</t>
  </si>
  <si>
    <t xml:space="preserve">325311  Nitrogenous Fertilizer Manufacturing </t>
  </si>
  <si>
    <t xml:space="preserve">325312  Phosphatic Fertilizer Manufacturing </t>
  </si>
  <si>
    <t xml:space="preserve">325314  Fertilizer (Mixing Only) Manufacturing </t>
  </si>
  <si>
    <t>32532  Pesticide and Other Agricultural Chemical Manufacturing</t>
  </si>
  <si>
    <t>325320  Pesticide and Other Agricultural Chemical Manufacturing</t>
  </si>
  <si>
    <t>3254  Pharmaceutical and Medicine Manufacturing</t>
  </si>
  <si>
    <t>32541  Pharmaceutical and Medicine Manufacturing</t>
  </si>
  <si>
    <t xml:space="preserve">325411  Medicinal and Botanical Manufacturing </t>
  </si>
  <si>
    <t xml:space="preserve">325412  Pharmaceutical Preparation Manufacturing </t>
  </si>
  <si>
    <t xml:space="preserve">325413  In-Vitro Diagnostic Substance Manufacturing </t>
  </si>
  <si>
    <t xml:space="preserve">325414  Biological Product (except Diagnostic) Manufacturing </t>
  </si>
  <si>
    <t>3255  Paint, Coating, and Adhesive Manufacturing</t>
  </si>
  <si>
    <t>32551  Paint and Coating Manufacturing</t>
  </si>
  <si>
    <t>325510  Paint and Coating Manufacturing</t>
  </si>
  <si>
    <t>32552  Adhesive Manufacturing</t>
  </si>
  <si>
    <t>325520  Adhesive Manufacturing</t>
  </si>
  <si>
    <t>3256  Soap, Cleaning Compound, and Toilet Preparation Manufacturing</t>
  </si>
  <si>
    <t>32561  Soap and Cleaning Compound Manufacturing</t>
  </si>
  <si>
    <t xml:space="preserve">325611  Soap and Other Detergent Manufacturing </t>
  </si>
  <si>
    <t xml:space="preserve">325612  Polish and Other Sanitation Good Manufacturing </t>
  </si>
  <si>
    <t xml:space="preserve">325613  Surface Active Agent Manufacturing </t>
  </si>
  <si>
    <t>32562  Toilet Preparation Manufacturing</t>
  </si>
  <si>
    <t>325620  Toilet Preparation Manufacturing</t>
  </si>
  <si>
    <t>3259  Other Chemical Product and Preparation Manufacturing</t>
  </si>
  <si>
    <t>32591  Printing Ink Manufacturing</t>
  </si>
  <si>
    <t>325910  Printing Ink Manufacturing</t>
  </si>
  <si>
    <t>32592  Explosives Manufacturing</t>
  </si>
  <si>
    <t>325920  Explosives Manufacturing</t>
  </si>
  <si>
    <t>32599  All Other Chemical Product and Preparation Manufacturing</t>
  </si>
  <si>
    <t xml:space="preserve">325991  Custom Compounding of Purchased Resins </t>
  </si>
  <si>
    <t xml:space="preserve">325992  Photographic Film, Paper, Plate, and Chemical Manufacturing </t>
  </si>
  <si>
    <t xml:space="preserve">325998  All Other Miscellaneous Chemical Product and Preparation Manufacturing </t>
  </si>
  <si>
    <t>326  Plastics and Rubber Products Manufacturing</t>
  </si>
  <si>
    <t>3261  Plastics Product Manufacturing</t>
  </si>
  <si>
    <t>32611  Plastics Packaging Materials and Unlaminated Film and Sheet Manufacturing</t>
  </si>
  <si>
    <t xml:space="preserve">326111  Plastics Bag and Pouch Manufacturing </t>
  </si>
  <si>
    <t xml:space="preserve">326112  Plastics Packaging Film and Sheet (including Laminated) Manufacturing </t>
  </si>
  <si>
    <t xml:space="preserve">326113  Unlaminated Plastics Film and Sheet (except Packaging) Manufacturing </t>
  </si>
  <si>
    <t>32612  Plastics Pipe, Pipe Fitting, and Unlaminated Profile Shape Manufacturing</t>
  </si>
  <si>
    <t xml:space="preserve">326121  Unlaminated Plastics Profile Shape Manufacturing </t>
  </si>
  <si>
    <t xml:space="preserve">326122  Plastics Pipe and Pipe Fitting Manufacturing </t>
  </si>
  <si>
    <t>32613  Laminated Plastics Plate, Sheet (except Packaging), and Shape Manufacturing</t>
  </si>
  <si>
    <t>326130  Laminated Plastics Plate, Sheet (except Packaging), and Shape Manufacturing</t>
  </si>
  <si>
    <t>32614  Polystyrene Foam Product Manufacturing</t>
  </si>
  <si>
    <t>326140  Polystyrene Foam Product Manufacturing</t>
  </si>
  <si>
    <t>32615  Urethane and Other Foam Product (except Polystyrene) Manufacturing</t>
  </si>
  <si>
    <t>326150  Urethane and Other Foam Product (except Polystyrene) Manufacturing</t>
  </si>
  <si>
    <t>32616  Plastics Bottle Manufacturing</t>
  </si>
  <si>
    <t>326160  Plastics Bottle Manufacturing</t>
  </si>
  <si>
    <t>32619  Other Plastics Product Manufacturing</t>
  </si>
  <si>
    <t xml:space="preserve">326191  Plastics Plumbing Fixture Manufacturing </t>
  </si>
  <si>
    <t xml:space="preserve">326199  All Other Plastics Product Manufacturing </t>
  </si>
  <si>
    <t>3262  Rubber Product Manufacturing</t>
  </si>
  <si>
    <t>32621  Tire Manufacturing</t>
  </si>
  <si>
    <t xml:space="preserve">326211  Tire Manufacturing (except Retreading) </t>
  </si>
  <si>
    <t xml:space="preserve">326212  Tire Retreading </t>
  </si>
  <si>
    <t>32622  Rubber and Plastics Hoses and Belting Manufacturing</t>
  </si>
  <si>
    <t>326220  Rubber and Plastics Hoses and Belting Manufacturing</t>
  </si>
  <si>
    <t>32629  Other Rubber Product Manufacturing</t>
  </si>
  <si>
    <t xml:space="preserve">326291  Rubber Product Manufacturing for Mechanical Use </t>
  </si>
  <si>
    <t xml:space="preserve">326299  All Other Rubber Product Manufacturing </t>
  </si>
  <si>
    <t>327  Nonmetallic Mineral Product Manufacturing</t>
  </si>
  <si>
    <t>3271  Clay Product and Refractory Manufacturing</t>
  </si>
  <si>
    <t>32711  Pottery, Ceramics, and Plumbing Fixture Manufacturing</t>
  </si>
  <si>
    <t xml:space="preserve">327110  Pottery, Ceramics, and Plumbing Fixture Manufacturing </t>
  </si>
  <si>
    <t>32712  Clay Building Material and Refractories Manufacturing</t>
  </si>
  <si>
    <t xml:space="preserve">327120  Clay Building Material and Refractories Manufacturing </t>
  </si>
  <si>
    <t>3272  Glass and Glass Product Manufacturing</t>
  </si>
  <si>
    <t>32721  Glass and Glass Product Manufacturing</t>
  </si>
  <si>
    <t xml:space="preserve">327211  Flat Glass Manufacturing </t>
  </si>
  <si>
    <t xml:space="preserve">327212  Other Pressed and Blown Glass and Glassware Manufacturing </t>
  </si>
  <si>
    <t xml:space="preserve">327213  Glass Container Manufacturing </t>
  </si>
  <si>
    <t xml:space="preserve">327215  Glass Product Manufacturing Made of Purchased Glass </t>
  </si>
  <si>
    <t>3273  Cement and Concrete Product Manufacturing</t>
  </si>
  <si>
    <t>32731  Cement Manufacturing</t>
  </si>
  <si>
    <t>327310  Cement Manufacturing</t>
  </si>
  <si>
    <t>32732  Ready-Mix Concrete Manufacturing</t>
  </si>
  <si>
    <t>327320  Ready-Mix Concrete Manufacturing</t>
  </si>
  <si>
    <t>32733  Concrete Pipe, Brick, and Block Manufacturing</t>
  </si>
  <si>
    <t xml:space="preserve">327331  Concrete Block and Brick Manufacturing </t>
  </si>
  <si>
    <t xml:space="preserve">327332  Concrete Pipe Manufacturing </t>
  </si>
  <si>
    <t>32739  Other Concrete Product Manufacturing</t>
  </si>
  <si>
    <t xml:space="preserve">327390  Other Concrete Product Manufacturing </t>
  </si>
  <si>
    <t>3274  Lime and Gypsum Product Manufacturing</t>
  </si>
  <si>
    <t>32741  Lime Manufacturing</t>
  </si>
  <si>
    <t>327410  Lime Manufacturing</t>
  </si>
  <si>
    <t>32742  Gypsum Product Manufacturing</t>
  </si>
  <si>
    <t>327420  Gypsum Product Manufacturing</t>
  </si>
  <si>
    <t>3279  Other Nonmetallic Mineral Product Manufacturing</t>
  </si>
  <si>
    <t>32791  Abrasive Product Manufacturing</t>
  </si>
  <si>
    <t>327910  Abrasive Product Manufacturing</t>
  </si>
  <si>
    <t>32799  All Other Nonmetallic Mineral Product Manufacturing</t>
  </si>
  <si>
    <t xml:space="preserve">327991  Cut Stone and Stone Product Manufacturing </t>
  </si>
  <si>
    <t xml:space="preserve">327992  Ground or Treated Mineral and Earth Manufacturing </t>
  </si>
  <si>
    <t xml:space="preserve">327993  Mineral Wool Manufacturing </t>
  </si>
  <si>
    <t xml:space="preserve">327999  All Other Miscellaneous Nonmetallic Mineral Product Manufacturing </t>
  </si>
  <si>
    <t>331  Primary Metal Manufacturing</t>
  </si>
  <si>
    <t>3311  Iron and Steel Mills and Ferroalloy Manufacturing</t>
  </si>
  <si>
    <t>33111  Iron and Steel Mills and Ferroalloy Manufacturing</t>
  </si>
  <si>
    <t xml:space="preserve">331110  Iron and Steel Mills and Ferroalloy Manufacturing </t>
  </si>
  <si>
    <t>3312  Steel Product Manufacturing from Purchased Steel</t>
  </si>
  <si>
    <t>33121  Iron and Steel Pipe and Tube Manufacturing from Purchased Steel</t>
  </si>
  <si>
    <t>331210  Iron and Steel Pipe and Tube Manufacturing from Purchased Steel</t>
  </si>
  <si>
    <t>33122  Rolling and Drawing of Purchased Steel</t>
  </si>
  <si>
    <t xml:space="preserve">331221  Rolled Steel Shape Manufacturing </t>
  </si>
  <si>
    <t xml:space="preserve">331222  Steel Wire Drawing </t>
  </si>
  <si>
    <t>3313  Alumina and Aluminum Production and Processing</t>
  </si>
  <si>
    <t>33131  Alumina and Aluminum Production and Processing</t>
  </si>
  <si>
    <t xml:space="preserve">331313  Alumina Refining and Primary Aluminum Production </t>
  </si>
  <si>
    <t xml:space="preserve">331314  Secondary Smelting and Alloying of Aluminum </t>
  </si>
  <si>
    <t xml:space="preserve">331315  Aluminum Sheet, Plate, and Foil Manufacturing </t>
  </si>
  <si>
    <t xml:space="preserve">331318  Other Aluminum Rolling, Drawing, and Extruding </t>
  </si>
  <si>
    <t>3314  Nonferrous Metal (except Aluminum) Production and Processing</t>
  </si>
  <si>
    <t>33141  Nonferrous Metal (except Aluminum) Smelting and Refining</t>
  </si>
  <si>
    <t xml:space="preserve">331410  Nonferrous Metal (except Aluminum) Smelting and Refining </t>
  </si>
  <si>
    <t>33142  Copper Rolling, Drawing, Extruding, and Alloying</t>
  </si>
  <si>
    <t>331420  Copper Rolling, Drawing, Extruding, and Alloying</t>
  </si>
  <si>
    <t>33149  Nonferrous Metal (except Copper and Aluminum) Rolling, Drawing, Extruding, and Alloying</t>
  </si>
  <si>
    <t xml:space="preserve">331491  Nonferrous Metal (except Copper and Aluminum) Rolling, Drawing, and Extruding </t>
  </si>
  <si>
    <t xml:space="preserve">331492  Secondary Smelting, Refining, and Alloying of Nonferrous Metal (except Copper and Aluminum) </t>
  </si>
  <si>
    <t>3315  Foundries</t>
  </si>
  <si>
    <t>33151  Ferrous Metal Foundries</t>
  </si>
  <si>
    <t xml:space="preserve">331511  Iron Foundries </t>
  </si>
  <si>
    <t xml:space="preserve">331512  Steel Investment Foundries </t>
  </si>
  <si>
    <t xml:space="preserve">331513  Steel Foundries (except Investment) </t>
  </si>
  <si>
    <t>33152  Nonferrous Metal Foundries</t>
  </si>
  <si>
    <t xml:space="preserve">331523  Nonferrous Metal Die-Casting Foundries </t>
  </si>
  <si>
    <t xml:space="preserve">331524  Aluminum Foundries (except Die-Casting) </t>
  </si>
  <si>
    <t xml:space="preserve">331529  Other Nonferrous Metal Foundries (except Die-Casting) </t>
  </si>
  <si>
    <t>332  Fabricated Metal Product Manufacturing</t>
  </si>
  <si>
    <t>3321  Forging and Stamping</t>
  </si>
  <si>
    <t>33211  Forging and Stamping</t>
  </si>
  <si>
    <t xml:space="preserve">332111  Iron and Steel Forging </t>
  </si>
  <si>
    <t xml:space="preserve">332112  Nonferrous Forging </t>
  </si>
  <si>
    <t xml:space="preserve">332114  Custom Roll Forming </t>
  </si>
  <si>
    <t xml:space="preserve">332117  Powder Metallurgy Part Manufacturing </t>
  </si>
  <si>
    <t xml:space="preserve">332119  Metal Crown, Closure, and Other Metal Stamping (except Automotive) </t>
  </si>
  <si>
    <t>3322  Cutlery and Handtool Manufacturing</t>
  </si>
  <si>
    <t>33221  Cutlery and Handtool Manufacturing</t>
  </si>
  <si>
    <t xml:space="preserve">332215  Metal Kitchen Cookware, Utensil, Cutlery, and Flatware (except Precious) Manufacturing </t>
  </si>
  <si>
    <t xml:space="preserve">332216  Saw Blade and Handtool Manufacturing </t>
  </si>
  <si>
    <t>3323  Architectural and Structural Metals Manufacturing</t>
  </si>
  <si>
    <t>33231  Plate Work and Fabricated Structural Product Manufacturing</t>
  </si>
  <si>
    <t xml:space="preserve">332311  Prefabricated Metal Building and Component Manufacturing </t>
  </si>
  <si>
    <t xml:space="preserve">332312  Fabricated Structural Metal Manufacturing </t>
  </si>
  <si>
    <t xml:space="preserve">332313  Plate Work Manufacturing </t>
  </si>
  <si>
    <t>33232  Ornamental and Architectural Metal Products Manufacturing</t>
  </si>
  <si>
    <t xml:space="preserve">332321  Metal Window and Door Manufacturing </t>
  </si>
  <si>
    <t xml:space="preserve">332322  Sheet Metal Work Manufacturing </t>
  </si>
  <si>
    <t xml:space="preserve">332323  Ornamental and Architectural Metal Work Manufacturing </t>
  </si>
  <si>
    <t>3324  Boiler, Tank, and Shipping Container Manufacturing</t>
  </si>
  <si>
    <t>33241  Power Boiler and Heat Exchanger Manufacturing</t>
  </si>
  <si>
    <t>332410  Power Boiler and Heat Exchanger Manufacturing</t>
  </si>
  <si>
    <t>33242  Metal Tank (Heavy Gauge) Manufacturing</t>
  </si>
  <si>
    <t>332420  Metal Tank (Heavy Gauge) Manufacturing</t>
  </si>
  <si>
    <t>33243  Metal Can, Box, and Other Metal Container (Light Gauge) Manufacturing</t>
  </si>
  <si>
    <t xml:space="preserve">332431  Metal Can Manufacturing </t>
  </si>
  <si>
    <t xml:space="preserve">332439  Other Metal Container Manufacturing </t>
  </si>
  <si>
    <t>3325  Hardware Manufacturing</t>
  </si>
  <si>
    <t>33251  Hardware Manufacturing</t>
  </si>
  <si>
    <t>332510  Hardware Manufacturing</t>
  </si>
  <si>
    <t>3326  Spring and Wire Product Manufacturing</t>
  </si>
  <si>
    <t>33261  Spring and Wire Product Manufacturing</t>
  </si>
  <si>
    <t xml:space="preserve">332613  Spring Manufacturing </t>
  </si>
  <si>
    <t xml:space="preserve">332618  Other Fabricated Wire Product Manufacturing </t>
  </si>
  <si>
    <t>3327  Machine Shops; Turned Product; and Screw, Nut, and Bolt Manufacturing</t>
  </si>
  <si>
    <t>33271  Machine Shops</t>
  </si>
  <si>
    <t>332710  Machine Shops</t>
  </si>
  <si>
    <t>33272  Turned Product and Screw, Nut, and Bolt Manufacturing</t>
  </si>
  <si>
    <t xml:space="preserve">332721  Precision Turned Product Manufacturing </t>
  </si>
  <si>
    <t xml:space="preserve">332722  Bolt, Nut, Screw, Rivet, and Washer Manufacturing </t>
  </si>
  <si>
    <t>3328  Coating, Engraving, Heat Treating, and Allied Activities</t>
  </si>
  <si>
    <t>33281  Coating, Engraving, Heat Treating, and Allied Activities</t>
  </si>
  <si>
    <t xml:space="preserve">332811  Metal Heat Treating </t>
  </si>
  <si>
    <t xml:space="preserve">332812  Metal Coating, Engraving (except Jewelry and Silverware), and Allied Services to Manufacturers </t>
  </si>
  <si>
    <t xml:space="preserve">332813  Electroplating, Plating, Polishing, Anodizing, and Coloring </t>
  </si>
  <si>
    <t>3329  Other Fabricated Metal Product Manufacturing</t>
  </si>
  <si>
    <t>33291  Metal Valve Manufacturing</t>
  </si>
  <si>
    <t xml:space="preserve">332911  Industrial Valve Manufacturing </t>
  </si>
  <si>
    <t xml:space="preserve">332912  Fluid Power Valve and Hose Fitting Manufacturing </t>
  </si>
  <si>
    <t xml:space="preserve">332913  Plumbing Fixture Fitting and Trim Manufacturing </t>
  </si>
  <si>
    <t xml:space="preserve">332919  Other Metal Valve and Pipe Fitting Manufacturing </t>
  </si>
  <si>
    <t>33299  All Other Fabricated Metal Product Manufacturing</t>
  </si>
  <si>
    <t>332991  Ball and Roller Bearing Manufacturing</t>
  </si>
  <si>
    <t xml:space="preserve">332992  Small Arms Ammunition Manufacturing </t>
  </si>
  <si>
    <t xml:space="preserve">332993  Ammunition (except Small Arms) Manufacturing </t>
  </si>
  <si>
    <t xml:space="preserve">332994  Small Arms, Ordnance, and Ordnance Accessories Manufacturing </t>
  </si>
  <si>
    <t xml:space="preserve">332996  Fabricated Pipe and Pipe Fitting Manufacturing </t>
  </si>
  <si>
    <t xml:space="preserve">332999  All Other Miscellaneous Fabricated Metal Product Manufacturing </t>
  </si>
  <si>
    <t>333  Machinery Manufacturing</t>
  </si>
  <si>
    <t>3331  Agriculture, Construction, and Mining Machinery Manufacturing</t>
  </si>
  <si>
    <t>33311  Agricultural Implement Manufacturing</t>
  </si>
  <si>
    <t xml:space="preserve">333111  Farm Machinery and Equipment Manufacturing </t>
  </si>
  <si>
    <t xml:space="preserve">333112  Lawn and Garden Tractor and Home Lawn and Garden Equipment Manufacturing </t>
  </si>
  <si>
    <t>33312  Construction Machinery Manufacturing</t>
  </si>
  <si>
    <t>333120  Construction Machinery Manufacturing</t>
  </si>
  <si>
    <t>33313  Mining and Oil and Gas Field Machinery Manufacturing</t>
  </si>
  <si>
    <t xml:space="preserve">333131  Mining Machinery and Equipment Manufacturing </t>
  </si>
  <si>
    <t xml:space="preserve">333132  Oil and Gas Field Machinery and Equipment Manufacturing </t>
  </si>
  <si>
    <t>3332  Industrial Machinery Manufacturing</t>
  </si>
  <si>
    <t>33324  Industrial Machinery Manufacturing</t>
  </si>
  <si>
    <t xml:space="preserve">333241  Food Product Machinery Manufacturing </t>
  </si>
  <si>
    <t xml:space="preserve">333242  Semiconductor Machinery Manufacturing </t>
  </si>
  <si>
    <t xml:space="preserve">333243  Sawmill, Woodworking, and Paper Machinery Manufacturing </t>
  </si>
  <si>
    <t xml:space="preserve">333244  Printing Machinery and Equipment Manufacturing </t>
  </si>
  <si>
    <t xml:space="preserve">333249  Other Industrial Machinery Manufacturing </t>
  </si>
  <si>
    <t>3333  Commercial and Service Industry Machinery Manufacturing</t>
  </si>
  <si>
    <t>33331  Commercial and Service Industry Machinery Manufacturing</t>
  </si>
  <si>
    <t xml:space="preserve">333314  Optical Instrument and Lens Manufacturing </t>
  </si>
  <si>
    <t xml:space="preserve">333316  Photographic and Photocopying Equipment Manufacturing </t>
  </si>
  <si>
    <t xml:space="preserve">333318  Other Commercial and Service Industry Machinery Manufacturing </t>
  </si>
  <si>
    <t>3334  Ventilation, Heating, Air-Conditioning, and Commercial Refrigeration Equipment Manufacturing</t>
  </si>
  <si>
    <t>33341  Ventilation, Heating, Air-Conditioning, and Commercial Refrigeration Equipment Manufacturing</t>
  </si>
  <si>
    <t xml:space="preserve">333413  Industrial and Commercial Fan and Blower and Air Purification Equipment Manufacturing </t>
  </si>
  <si>
    <t xml:space="preserve">333414  Heating Equipment (except Warm Air Furnaces) Manufacturing </t>
  </si>
  <si>
    <t xml:space="preserve">333415  Air-Conditioning and Warm Air Heating Equipment and Commercial and Industrial Refrigeration Equipment Manufacturing </t>
  </si>
  <si>
    <t>3335  Metalworking Machinery Manufacturing</t>
  </si>
  <si>
    <t>33351  Metalworking Machinery Manufacturing</t>
  </si>
  <si>
    <t xml:space="preserve">333511  Industrial Mold Manufacturing </t>
  </si>
  <si>
    <t xml:space="preserve">333514  Special Die and Tool, Die Set, Jig, and Fixture Manufacturing </t>
  </si>
  <si>
    <t xml:space="preserve">333515  Cutting Tool and Machine Tool Accessory Manufacturing </t>
  </si>
  <si>
    <t xml:space="preserve">333517  Machine Tool Manufacturing </t>
  </si>
  <si>
    <t xml:space="preserve">333519  Rolling Mill and Other Metalworking Machinery Manufacturing </t>
  </si>
  <si>
    <t>3336  Engine, Turbine, and Power Transmission Equipment Manufacturing</t>
  </si>
  <si>
    <t>33361  Engine, Turbine, and Power Transmission Equipment Manufacturing</t>
  </si>
  <si>
    <t xml:space="preserve">333611  Turbine and Turbine Generator Set Units Manufacturing </t>
  </si>
  <si>
    <t xml:space="preserve">333612  Speed Changer, Industrial High-Speed Drive, and Gear Manufacturing </t>
  </si>
  <si>
    <t xml:space="preserve">333613  Mechanical Power Transmission Equipment Manufacturing </t>
  </si>
  <si>
    <t xml:space="preserve">333618  Other Engine Equipment Manufacturing </t>
  </si>
  <si>
    <t>3339  Other General Purpose Machinery Manufacturing</t>
  </si>
  <si>
    <t>33391  Pump and Compressor Manufacturing</t>
  </si>
  <si>
    <t xml:space="preserve">333912  Air and Gas Compressor Manufacturing </t>
  </si>
  <si>
    <t xml:space="preserve">333914  Measuring, Dispensing, and Other Pumping Equipment Manufacturing </t>
  </si>
  <si>
    <t>33392  Material Handling Equipment Manufacturing</t>
  </si>
  <si>
    <t xml:space="preserve">333921  Elevator and Moving Stairway Manufacturing </t>
  </si>
  <si>
    <t xml:space="preserve">333922  Conveyor and Conveying Equipment Manufacturing </t>
  </si>
  <si>
    <t xml:space="preserve">333923  Overhead Traveling Crane, Hoist, and Monorail System Manufacturing </t>
  </si>
  <si>
    <t xml:space="preserve">333924  Industrial Truck, Tractor, Trailer, and Stacker Machinery Manufacturing </t>
  </si>
  <si>
    <t>33399  All Other General Purpose Machinery Manufacturing</t>
  </si>
  <si>
    <t xml:space="preserve">333991  Power-Driven Handtool Manufacturing </t>
  </si>
  <si>
    <t xml:space="preserve">333992  Welding and Soldering Equipment Manufacturing </t>
  </si>
  <si>
    <t xml:space="preserve">333993  Packaging Machinery Manufacturing </t>
  </si>
  <si>
    <t xml:space="preserve">333994  Industrial Process Furnace and Oven Manufacturing </t>
  </si>
  <si>
    <t xml:space="preserve">333995  Fluid Power Cylinder and Actuator Manufacturing </t>
  </si>
  <si>
    <t xml:space="preserve">333996  Fluid Power Pump and Motor Manufacturing </t>
  </si>
  <si>
    <t xml:space="preserve">333997  Scale and Balance Manufacturing </t>
  </si>
  <si>
    <t xml:space="preserve">333999  All Other Miscellaneous General Purpose Machinery Manufacturing </t>
  </si>
  <si>
    <t>334  Computer and Electronic Product Manufacturing</t>
  </si>
  <si>
    <t>3341  Computer and Peripheral Equipment Manufacturing</t>
  </si>
  <si>
    <t>33411  Computer and Peripheral Equipment Manufacturing</t>
  </si>
  <si>
    <t xml:space="preserve">334111  Electronic Computer Manufacturing </t>
  </si>
  <si>
    <t xml:space="preserve">334112  Computer Storage Device Manufacturing </t>
  </si>
  <si>
    <t xml:space="preserve">334118  Computer Terminal and Other Computer Peripheral Equipment Manufacturing </t>
  </si>
  <si>
    <t>3342  Communications Equipment Manufacturing</t>
  </si>
  <si>
    <t>33421  Telephone Apparatus Manufacturing</t>
  </si>
  <si>
    <t>334210  Telephone Apparatus Manufacturing</t>
  </si>
  <si>
    <t>33422  Radio and Television Broadcasting and Wireless Communications Equipment Manufacturing</t>
  </si>
  <si>
    <t>334220  Radio and Television Broadcasting and Wireless Communications Equipment Manufacturing</t>
  </si>
  <si>
    <t>33429  Other Communications Equipment Manufacturing</t>
  </si>
  <si>
    <t>334290  Other Communications Equipment Manufacturing</t>
  </si>
  <si>
    <t>3343  Audio and Video Equipment Manufacturing</t>
  </si>
  <si>
    <t>33431  Audio and Video Equipment Manufacturing</t>
  </si>
  <si>
    <t>334310  Audio and Video Equipment Manufacturing</t>
  </si>
  <si>
    <t>3344  Semiconductor and Other Electronic Component Manufacturing</t>
  </si>
  <si>
    <t>33441  Semiconductor and Other Electronic Component Manufacturing</t>
  </si>
  <si>
    <t xml:space="preserve">334412  Bare Printed Circuit Board Manufacturing  </t>
  </si>
  <si>
    <t xml:space="preserve">334413  Semiconductor and Related Device Manufacturing </t>
  </si>
  <si>
    <t xml:space="preserve">334416  Capacitor, Resistor, Coil, Transformer, and Other Inductor Manufacturing </t>
  </si>
  <si>
    <t xml:space="preserve">334417  Electronic Connector Manufacturing </t>
  </si>
  <si>
    <t xml:space="preserve">334418  Printed Circuit Assembly (Electronic Assembly) Manufacturing </t>
  </si>
  <si>
    <t xml:space="preserve">334419  Other Electronic Component Manufacturing </t>
  </si>
  <si>
    <t>3345  Navigational, Measuring, Electromedical, and Control Instruments Manufacturing</t>
  </si>
  <si>
    <t>33451  Navigational, Measuring, Electromedical, and Control Instruments Manufacturing</t>
  </si>
  <si>
    <t xml:space="preserve">334510  Electromedical and Electrotherapeutic Apparatus Manufacturing </t>
  </si>
  <si>
    <t xml:space="preserve">334511  Search, Detection, Navigation, Guidance, Aeronautical, and Nautical System and Instrument Manufacturing </t>
  </si>
  <si>
    <t xml:space="preserve">334512  Automatic Environmental Control Manufacturing for Residential, Commercial, and Appliance Use </t>
  </si>
  <si>
    <t xml:space="preserve">334513  Instruments and Related Products Manufacturing for Measuring, Displaying, and Controlling Industrial Process Variables </t>
  </si>
  <si>
    <t xml:space="preserve">334514  Totalizing Fluid Meter and Counting Device Manufacturing </t>
  </si>
  <si>
    <t xml:space="preserve">334515  Instrument Manufacturing for Measuring and Testing Electricity and Electrical Signals </t>
  </si>
  <si>
    <t xml:space="preserve">334516  Analytical Laboratory Instrument Manufacturing </t>
  </si>
  <si>
    <t xml:space="preserve">334517  Irradiation Apparatus Manufacturing </t>
  </si>
  <si>
    <t xml:space="preserve">334519  Other Measuring and Controlling Device Manufacturing </t>
  </si>
  <si>
    <t>3346  Manufacturing and Reproducing Magnetic and Optical Media</t>
  </si>
  <si>
    <t>33461  Manufacturing and Reproducing Magnetic and Optical Media</t>
  </si>
  <si>
    <t xml:space="preserve">334613  Blank Magnetic and Optical Recording Media Manufacturing </t>
  </si>
  <si>
    <t xml:space="preserve">334614  Software and Other Prerecorded Compact Disc, Tape, and Record Reproducing </t>
  </si>
  <si>
    <t>335  Electrical Equipment, Appliance, and Component Manufacturing</t>
  </si>
  <si>
    <t>3351  Electric Lighting Equipment Manufacturing</t>
  </si>
  <si>
    <t>33511  Electric Lamp Bulb and Part Manufacturing</t>
  </si>
  <si>
    <t>335110  Electric Lamp Bulb and Part Manufacturing</t>
  </si>
  <si>
    <t>33512  Lighting Fixture Manufacturing</t>
  </si>
  <si>
    <t xml:space="preserve">335121  Residential Electric Lighting Fixture Manufacturing </t>
  </si>
  <si>
    <t xml:space="preserve">335122  Commercial, Industrial, and Institutional Electric Lighting Fixture Manufacturing </t>
  </si>
  <si>
    <t xml:space="preserve">335129  Other Lighting Equipment Manufacturing </t>
  </si>
  <si>
    <t>3352  Household Appliance Manufacturing</t>
  </si>
  <si>
    <t>33521  Small Electrical Appliance Manufacturing</t>
  </si>
  <si>
    <t>335210  Small Electrical Appliance Manufacturing</t>
  </si>
  <si>
    <t xml:space="preserve">33522  Major Household Appliance Manufacturing </t>
  </si>
  <si>
    <t xml:space="preserve">335220  Major Household Appliance Manufacturing </t>
  </si>
  <si>
    <t>3353  Electrical Equipment Manufacturing</t>
  </si>
  <si>
    <t>33531  Electrical Equipment Manufacturing</t>
  </si>
  <si>
    <t xml:space="preserve">335311  Power, Distribution, and Specialty Transformer Manufacturing </t>
  </si>
  <si>
    <t xml:space="preserve">335312  Motor and Generator Manufacturing </t>
  </si>
  <si>
    <t xml:space="preserve">335313  Switchgear and Switchboard Apparatus Manufacturing </t>
  </si>
  <si>
    <t xml:space="preserve">335314  Relay and Industrial Control Manufacturing </t>
  </si>
  <si>
    <t>3359  Other Electrical Equipment and Component Manufacturing</t>
  </si>
  <si>
    <t>33591  Battery Manufacturing</t>
  </si>
  <si>
    <t xml:space="preserve">335911  Storage Battery Manufacturing </t>
  </si>
  <si>
    <t xml:space="preserve">335912  Primary Battery Manufacturing </t>
  </si>
  <si>
    <t>33592  Communication and Energy Wire and Cable Manufacturing</t>
  </si>
  <si>
    <t xml:space="preserve">335921  Fiber Optic Cable Manufacturing </t>
  </si>
  <si>
    <t xml:space="preserve">335929  Other Communication and Energy Wire Manufacturing </t>
  </si>
  <si>
    <t>33593  Wiring Device Manufacturing</t>
  </si>
  <si>
    <t xml:space="preserve">335931  Current-Carrying Wiring Device Manufacturing </t>
  </si>
  <si>
    <t xml:space="preserve">335932  Noncurrent-Carrying Wiring Device Manufacturing </t>
  </si>
  <si>
    <t>33599  All Other Electrical Equipment and Component Manufacturing</t>
  </si>
  <si>
    <t xml:space="preserve">335991  Carbon and Graphite Product Manufacturing </t>
  </si>
  <si>
    <t xml:space="preserve">335999  All Other Miscellaneous Electrical Equipment and Component Manufacturing </t>
  </si>
  <si>
    <t>336  Transportation Equipment Manufacturing</t>
  </si>
  <si>
    <t>3361  Motor Vehicle Manufacturing</t>
  </si>
  <si>
    <t>33611  Automobile and Light Duty Motor Vehicle Manufacturing</t>
  </si>
  <si>
    <t xml:space="preserve">336111  Automobile Manufacturing </t>
  </si>
  <si>
    <t xml:space="preserve">336112  Light Truck and Utility Vehicle Manufacturing </t>
  </si>
  <si>
    <t>33612  Heavy Duty Truck Manufacturing</t>
  </si>
  <si>
    <t>336120  Heavy Duty Truck Manufacturing</t>
  </si>
  <si>
    <t>3362  Motor Vehicle Body and Trailer Manufacturing</t>
  </si>
  <si>
    <t>33621  Motor Vehicle Body and Trailer Manufacturing</t>
  </si>
  <si>
    <t xml:space="preserve">336211  Motor Vehicle Body Manufacturing </t>
  </si>
  <si>
    <t xml:space="preserve">336212  Truck Trailer Manufacturing </t>
  </si>
  <si>
    <t xml:space="preserve">336213  Motor Home Manufacturing </t>
  </si>
  <si>
    <t xml:space="preserve">336214  Travel Trailer and Camper Manufacturing </t>
  </si>
  <si>
    <t>3363  Motor Vehicle Parts Manufacturing</t>
  </si>
  <si>
    <t>33631  Motor Vehicle Gasoline Engine and Engine Parts Manufacturing</t>
  </si>
  <si>
    <t>336310  Motor Vehicle Gasoline Engine and Engine Parts Manufacturing</t>
  </si>
  <si>
    <t>33632  Motor Vehicle Electrical and Electronic Equipment Manufacturing</t>
  </si>
  <si>
    <t>336320  Motor Vehicle Electrical and Electronic Equipment Manufacturing</t>
  </si>
  <si>
    <t>33633  Motor Vehicle Steering and Suspension Components (except Spring) Manufacturing</t>
  </si>
  <si>
    <t>336330  Motor Vehicle Steering and Suspension Components (except Spring) Manufacturing</t>
  </si>
  <si>
    <t>33634  Motor Vehicle Brake System Manufacturing</t>
  </si>
  <si>
    <t>336340  Motor Vehicle Brake System Manufacturing</t>
  </si>
  <si>
    <t>33635  Motor Vehicle Transmission and Power Train Parts Manufacturing</t>
  </si>
  <si>
    <t>336350  Motor Vehicle Transmission and Power Train Parts Manufacturing</t>
  </si>
  <si>
    <t>33636  Motor Vehicle Seating and Interior Trim Manufacturing</t>
  </si>
  <si>
    <t>336360  Motor Vehicle Seating and Interior Trim Manufacturing</t>
  </si>
  <si>
    <t>33637  Motor Vehicle Metal Stamping</t>
  </si>
  <si>
    <t>336370  Motor Vehicle Metal Stamping</t>
  </si>
  <si>
    <t>33639  Other Motor Vehicle Parts Manufacturing</t>
  </si>
  <si>
    <t>336390  Other Motor Vehicle Parts Manufacturing</t>
  </si>
  <si>
    <t>3364  Aerospace Product and Parts Manufacturing</t>
  </si>
  <si>
    <t>33641  Aerospace Product and Parts Manufacturing</t>
  </si>
  <si>
    <t xml:space="preserve">336411  Aircraft Manufacturing </t>
  </si>
  <si>
    <t xml:space="preserve">336412  Aircraft Engine and Engine Parts Manufacturing </t>
  </si>
  <si>
    <t xml:space="preserve">336413  Other Aircraft Parts and Auxiliary Equipment Manufacturing </t>
  </si>
  <si>
    <t xml:space="preserve">336414  Guided Missile and Space Vehicle Manufacturing </t>
  </si>
  <si>
    <t xml:space="preserve">336415  Guided Missile and Space Vehicle Propulsion Unit and Propulsion Unit Parts Manufacturing </t>
  </si>
  <si>
    <t xml:space="preserve">336419  Other Guided Missile and Space Vehicle Parts and Auxiliary Equipment Manufacturing </t>
  </si>
  <si>
    <t>3365  Railroad Rolling Stock Manufacturing</t>
  </si>
  <si>
    <t>33651  Railroad Rolling Stock Manufacturing</t>
  </si>
  <si>
    <t>336510  Railroad Rolling Stock Manufacturing</t>
  </si>
  <si>
    <t>3366  Ship and Boat Building</t>
  </si>
  <si>
    <t>33661  Ship and Boat Building</t>
  </si>
  <si>
    <t xml:space="preserve">336611  Ship Building and Repairing </t>
  </si>
  <si>
    <t xml:space="preserve">336612  Boat Building </t>
  </si>
  <si>
    <t>3369  Other Transportation Equipment Manufacturing</t>
  </si>
  <si>
    <t>33699  Other Transportation Equipment Manufacturing</t>
  </si>
  <si>
    <t xml:space="preserve">336991  Motorcycle, Bicycle, and Parts Manufacturing </t>
  </si>
  <si>
    <t xml:space="preserve">336992  Military Armored Vehicle, Tank, and Tank Component Manufacturing </t>
  </si>
  <si>
    <t xml:space="preserve">336999  All Other Transportation Equipment Manufacturing </t>
  </si>
  <si>
    <t>337  Furniture and Related Product Manufacturing</t>
  </si>
  <si>
    <t>3371  Household and Institutional Furniture and Kitchen Cabinet Manufacturing</t>
  </si>
  <si>
    <t>33711  Wood Kitchen Cabinet and Countertop Manufacturing</t>
  </si>
  <si>
    <t>337110  Wood Kitchen Cabinet and Countertop Manufacturing</t>
  </si>
  <si>
    <t>33712  Household and Institutional Furniture Manufacturing</t>
  </si>
  <si>
    <t xml:space="preserve">337121  Upholstered Household Furniture Manufacturing </t>
  </si>
  <si>
    <t xml:space="preserve">337122  Nonupholstered Wood Household Furniture Manufacturing </t>
  </si>
  <si>
    <t xml:space="preserve">337124  Metal Household Furniture Manufacturing </t>
  </si>
  <si>
    <t xml:space="preserve">337125  Household Furniture (except Wood and Metal) Manufacturing </t>
  </si>
  <si>
    <t xml:space="preserve">337127  Institutional Furniture Manufacturing </t>
  </si>
  <si>
    <t>3372  Office Furniture (including Fixtures) Manufacturing</t>
  </si>
  <si>
    <t>33721  Office Furniture (including Fixtures) Manufacturing</t>
  </si>
  <si>
    <t xml:space="preserve">337211  Wood Office Furniture Manufacturing </t>
  </si>
  <si>
    <t xml:space="preserve">337212  Custom Architectural Woodwork and Millwork Manufacturing </t>
  </si>
  <si>
    <t xml:space="preserve">337214  Office Furniture (except Wood) Manufacturing </t>
  </si>
  <si>
    <t xml:space="preserve">337215  Showcase, Partition, Shelving, and Locker Manufacturing </t>
  </si>
  <si>
    <t>3379  Other Furniture Related Product Manufacturing</t>
  </si>
  <si>
    <t>33791  Mattress Manufacturing</t>
  </si>
  <si>
    <t>337910  Mattress Manufacturing</t>
  </si>
  <si>
    <t>33792  Blind and Shade Manufacturing</t>
  </si>
  <si>
    <t>337920  Blind and Shade Manufacturing</t>
  </si>
  <si>
    <t>339  Miscellaneous Manufacturing</t>
  </si>
  <si>
    <t>3391  Medical Equipment and Supplies Manufacturing</t>
  </si>
  <si>
    <t>33911  Medical Equipment and Supplies Manufacturing</t>
  </si>
  <si>
    <t xml:space="preserve">339112  Surgical and Medical Instrument Manufacturing </t>
  </si>
  <si>
    <t xml:space="preserve">339113  Surgical Appliance and Supplies Manufacturing </t>
  </si>
  <si>
    <t xml:space="preserve">339114  Dental Equipment and Supplies Manufacturing </t>
  </si>
  <si>
    <t xml:space="preserve">339115  Ophthalmic Goods Manufacturing </t>
  </si>
  <si>
    <t xml:space="preserve">339116  Dental Laboratories </t>
  </si>
  <si>
    <t>3399  Other Miscellaneous Manufacturing</t>
  </si>
  <si>
    <t>33991  Jewelry and Silverware Manufacturing</t>
  </si>
  <si>
    <t xml:space="preserve">339910  Jewelry and Silverware Manufacturing </t>
  </si>
  <si>
    <t>33992  Sporting and Athletic Goods Manufacturing</t>
  </si>
  <si>
    <t>339920  Sporting and Athletic Goods Manufacturing</t>
  </si>
  <si>
    <t>33993  Doll, Toy, and Game Manufacturing</t>
  </si>
  <si>
    <t>339930  Doll, Toy, and Game Manufacturing</t>
  </si>
  <si>
    <t>33994  Office Supplies (except Paper) Manufacturing</t>
  </si>
  <si>
    <t>339940  Office Supplies (except Paper) Manufacturing</t>
  </si>
  <si>
    <t>33995  Sign Manufacturing</t>
  </si>
  <si>
    <t>339950  Sign Manufacturing</t>
  </si>
  <si>
    <t>33999  All Other Miscellaneous Manufacturing</t>
  </si>
  <si>
    <t xml:space="preserve">339991  Gasket, Packing, and Sealing Device Manufacturing </t>
  </si>
  <si>
    <t xml:space="preserve">339992  Musical Instrument Manufacturing </t>
  </si>
  <si>
    <t xml:space="preserve">339993  Fastener, Button, Needle, and Pin Manufacturing </t>
  </si>
  <si>
    <t xml:space="preserve">339994  Broom, Brush, and Mop Manufacturing </t>
  </si>
  <si>
    <t xml:space="preserve">339995  Burial Casket Manufacturing </t>
  </si>
  <si>
    <t xml:space="preserve">339999  All Other Miscellaneous Manufacturing </t>
  </si>
  <si>
    <t>3Digit</t>
  </si>
  <si>
    <t>Purple - Outputs, cannot be edited</t>
  </si>
  <si>
    <t>Orange- Calculated based on user inputs; can be overwritten if required</t>
  </si>
  <si>
    <t>Table2</t>
  </si>
  <si>
    <t>Table3</t>
  </si>
  <si>
    <t>Table4</t>
  </si>
  <si>
    <t>Table5</t>
  </si>
  <si>
    <t>Table6</t>
  </si>
  <si>
    <t>Table7</t>
  </si>
  <si>
    <t>Table8</t>
  </si>
  <si>
    <t>Table9</t>
  </si>
  <si>
    <t>Table10</t>
  </si>
  <si>
    <t>Table11</t>
  </si>
  <si>
    <t>Table12</t>
  </si>
  <si>
    <t>Table13</t>
  </si>
  <si>
    <t>Table14</t>
  </si>
  <si>
    <t>Table15</t>
  </si>
  <si>
    <t>Table16</t>
  </si>
  <si>
    <t>Table17</t>
  </si>
  <si>
    <t>Table18</t>
  </si>
  <si>
    <t>Table19</t>
  </si>
  <si>
    <t>Table20</t>
  </si>
  <si>
    <t>Table21</t>
  </si>
  <si>
    <t>Table22</t>
  </si>
  <si>
    <t xml:space="preserve">NAICS (5 or 6 digits) </t>
  </si>
  <si>
    <r>
      <rPr>
        <b/>
        <sz val="12"/>
        <color theme="1"/>
        <rFont val="Calibri"/>
        <family val="2"/>
        <scheme val="minor"/>
      </rPr>
      <t>Impact to Product quality:</t>
    </r>
    <r>
      <rPr>
        <sz val="12"/>
        <color theme="1"/>
        <rFont val="Calibri"/>
        <family val="2"/>
        <scheme val="minor"/>
      </rPr>
      <t xml:space="preserve"> Will the quality of the final product be affected by switching to electricity based processing?   State economic impact of improved quality (if any). </t>
    </r>
  </si>
  <si>
    <r>
      <t>Impact on Product's Life:</t>
    </r>
    <r>
      <rPr>
        <sz val="12"/>
        <color theme="1"/>
        <rFont val="Calibri"/>
        <family val="2"/>
        <scheme val="minor"/>
      </rPr>
      <t xml:space="preserve"> Will there be any impact on life cycle economics such as the expected life, performance improvement, required maintenance etc. of the final product(s) through its life cycle?</t>
    </r>
  </si>
  <si>
    <r>
      <t xml:space="preserve">MeanSpecific Heat of solid (Btu/lb. </t>
    </r>
    <r>
      <rPr>
        <vertAlign val="superscript"/>
        <sz val="10"/>
        <rFont val="Arial"/>
        <family val="2"/>
      </rPr>
      <t>0</t>
    </r>
    <r>
      <rPr>
        <sz val="10"/>
        <rFont val="Arial"/>
        <family val="2"/>
      </rPr>
      <t xml:space="preserve">F) </t>
    </r>
  </si>
  <si>
    <r>
      <t xml:space="preserve">MeanSpecific Heat Of Liquid (Btu/lb </t>
    </r>
    <r>
      <rPr>
        <vertAlign val="superscript"/>
        <sz val="10"/>
        <rFont val="Arial"/>
        <family val="2"/>
      </rPr>
      <t>0</t>
    </r>
    <r>
      <rPr>
        <sz val="10"/>
        <rFont val="Arial"/>
        <family val="2"/>
      </rPr>
      <t>F)</t>
    </r>
  </si>
  <si>
    <t xml:space="preserve">MeanSpecific Heat of liquid (kJ/(kg oC# F) </t>
  </si>
  <si>
    <r>
      <t xml:space="preserve">MeanSpecific Heat Of Vapor (Btu/(lb. </t>
    </r>
    <r>
      <rPr>
        <vertAlign val="superscript"/>
        <sz val="11"/>
        <rFont val="Arial"/>
        <family val="2"/>
      </rPr>
      <t>0</t>
    </r>
    <r>
      <rPr>
        <sz val="11"/>
        <rFont val="Arial"/>
        <family val="2"/>
      </rPr>
      <t xml:space="preserve">F)  </t>
    </r>
  </si>
  <si>
    <t>HtContentOf Solid At MeltingPoint  (Btu/lb.)</t>
  </si>
  <si>
    <t>Crude</t>
  </si>
  <si>
    <t>Water - std. atms. pressure</t>
  </si>
  <si>
    <t>Fuel oil no. 2 (average)</t>
  </si>
  <si>
    <r>
      <t>MeanSpecific Heat of Gas (Btu/lb.</t>
    </r>
    <r>
      <rPr>
        <vertAlign val="superscript"/>
        <sz val="11"/>
        <rFont val="Arial"/>
        <family val="2"/>
      </rPr>
      <t>0</t>
    </r>
    <r>
      <rPr>
        <sz val="11"/>
        <rFont val="Arial"/>
        <family val="2"/>
      </rPr>
      <t xml:space="preserve">F) </t>
    </r>
  </si>
  <si>
    <r>
      <t>MeanSpecific Heat Of Vapor (Btu/lb.</t>
    </r>
    <r>
      <rPr>
        <vertAlign val="superscript"/>
        <sz val="11"/>
        <rFont val="Arial"/>
        <family val="2"/>
      </rPr>
      <t>0</t>
    </r>
    <r>
      <rPr>
        <sz val="11"/>
        <rFont val="Arial"/>
        <family val="2"/>
      </rPr>
      <t xml:space="preserve">F) </t>
    </r>
  </si>
  <si>
    <t>Steam - 50 psig, 400 degree F</t>
  </si>
  <si>
    <t>Steam - 150 psig, 500 degree F</t>
  </si>
  <si>
    <t xml:space="preserve">Steam - 600 psig, 700 degree F </t>
  </si>
  <si>
    <r>
      <t xml:space="preserve">Impact on Upstream Process: </t>
    </r>
    <r>
      <rPr>
        <sz val="12"/>
        <color theme="1"/>
        <rFont val="Calibri"/>
        <family val="2"/>
        <scheme val="minor"/>
      </rPr>
      <t xml:space="preserve">Does changing to electrotechnology for heating affect any of the other upstream processes? </t>
    </r>
  </si>
  <si>
    <r>
      <rPr>
        <b/>
        <sz val="12"/>
        <color theme="1"/>
        <rFont val="Calibri"/>
        <family val="2"/>
        <scheme val="minor"/>
      </rPr>
      <t>Impact on Production :</t>
    </r>
    <r>
      <rPr>
        <sz val="12"/>
        <color theme="1"/>
        <rFont val="Calibri"/>
        <family val="2"/>
        <scheme val="minor"/>
      </rPr>
      <t xml:space="preserve"> Does changing to electrotechnology affect the overall production?    </t>
    </r>
  </si>
  <si>
    <r>
      <rPr>
        <b/>
        <sz val="12"/>
        <color theme="1"/>
        <rFont val="Calibri"/>
        <family val="2"/>
        <scheme val="minor"/>
      </rPr>
      <t>Impact to Downstream Processes:</t>
    </r>
    <r>
      <rPr>
        <sz val="12"/>
        <color theme="1"/>
        <rFont val="Calibri"/>
        <family val="2"/>
        <scheme val="minor"/>
      </rPr>
      <t xml:space="preserve"> Does changing to electrotechnology for heating affect any of the other downstream processes?  </t>
    </r>
  </si>
  <si>
    <r>
      <t xml:space="preserve">Raw materials availability: </t>
    </r>
    <r>
      <rPr>
        <sz val="12"/>
        <color theme="1"/>
        <rFont val="Calibri"/>
        <family val="2"/>
        <scheme val="minor"/>
      </rPr>
      <t xml:space="preserve">Will the quality/quantity of the raw material need to be adjusted in any by switching to electric processing? </t>
    </r>
  </si>
  <si>
    <t xml:space="preserve">Induction heating is a non-contact heating technology that uses electro-magnetic properties of electrically conductive materials.  When the electrical current passes along a wire, an electromagnetic field is produced around that wire. Induction heating involves use of this electromagnetic field to produce eddy currents in the metal workpiece being heated.  The work piece is heated primarily by the current in the same manner as resistance heating by passing current through the work piece.  Induction heating can be used to heat or melt metals such as copper, aluminum, steel, or brass.  It can also be used for semiconductors such as graphite, carbon, or silicon carbide.  Nonconductive materials such as plastics or glass can be heated by using an electrically conductive susceptor like graphite and transfer heat to the nonconductive material being heated. </t>
  </si>
  <si>
    <t xml:space="preserve">Resistance heating </t>
  </si>
  <si>
    <t xml:space="preserve">Induction Heating </t>
  </si>
  <si>
    <t xml:space="preserve">Electric Arc Heating </t>
  </si>
  <si>
    <t xml:space="preserve">Electric Infrared Heating </t>
  </si>
  <si>
    <t xml:space="preserve">Microwave Heating </t>
  </si>
  <si>
    <t xml:space="preserve">Radio-frequency (RF) Heating </t>
  </si>
  <si>
    <t xml:space="preserve">Electro Beam (EB) Heating </t>
  </si>
  <si>
    <t>Plasma Heating</t>
  </si>
  <si>
    <t xml:space="preserve">Laser Heating </t>
  </si>
  <si>
    <t>Density (kg/m^3)</t>
  </si>
  <si>
    <t>1 kg/m3</t>
  </si>
  <si>
    <t>lb/gal</t>
  </si>
  <si>
    <t>Density (lb/gal)</t>
  </si>
  <si>
    <t>density (kg/m^3)</t>
  </si>
  <si>
    <t>lb/cu.ft</t>
  </si>
  <si>
    <t>Ultraviolet(UV) processing</t>
  </si>
  <si>
    <t xml:space="preserve">This section of the tool is designed to document the impact of switching to Electrotechnology on the other upstream and downstream processes in the facility and the final product though its lifecycle. </t>
  </si>
  <si>
    <t>Cost of Operating Auxiliary Equipment</t>
  </si>
  <si>
    <t xml:space="preserve">The "Supporting Calculators" are provided to help estimate the various components of the inputs, used in the analysis      
                                                                                                                                                                                         The user may choose to use these calculator as required             
                                                                                                                                                                                                                                                                                       The "Supporting Calculators" can also be accessed directly from the "Comparison Calculator" page  </t>
  </si>
  <si>
    <t xml:space="preserve">    Auxiliary Equipment</t>
  </si>
  <si>
    <t xml:space="preserve">**The Cost Comparison Calculator was conceived by Dr. Arvind Thekdi and developed by E3M Inc. in collaboration with Oak Ridge National Laboratory (ORNL).  Dr. Sachin Nimbalkar and Mr. Kiran Thirumaran of Oak Ridge National Laboratory (ORNL) ) contributed to the development work.  The project was supported by Advanced Manufacturing, Energy Efficiency and Renewable Energy Office of The U.S. Department of Energy.  The tool was tested by a team of experts from the ORNL and representatives from the US industrial companies.   </t>
  </si>
  <si>
    <t xml:space="preserve">    Cost Comparison Calculator</t>
  </si>
  <si>
    <t>This calculator or model has been developed to compare the total (overall) costs of thermal processing (heating - cooling) of materials in commonly used industrial process heating systems (e.g., furnaces, ovens, boilers, dryers, heaters) when fuel or electricity is used as the heat source.  The model can perform calculations on any type of electrotechnology used for processing materials.  The user is required to provide necessary cost information.  Several methods, tools, and other sources used for calculating the energy requirements for the thermal processing of material and  equipment are given as support.</t>
  </si>
  <si>
    <t xml:space="preserve">Steps for Using the Cost Comparison Model </t>
  </si>
  <si>
    <t>Select the material type (solid, liquid, or gas/vapors) in row 15</t>
  </si>
  <si>
    <t>Review the cost summary and comparison report for fuel-based and hybrid systems</t>
  </si>
  <si>
    <t>Go to the Calculator page and give the required input in rows 8 to 13</t>
  </si>
  <si>
    <t xml:space="preserve">Return to the Calculator page </t>
  </si>
  <si>
    <t xml:space="preserve">Insert the required data into the yellow cells </t>
  </si>
  <si>
    <t>Use the hyperlinks to access the calculation sheets needed for various costs and other information</t>
  </si>
  <si>
    <t>Yellow - User inputs needed</t>
  </si>
  <si>
    <t>Use the "Other Impacts" sheet to document the impact that switching to electrotechnology has on other facility processes and on the product life cycle.</t>
  </si>
  <si>
    <t>Here are the most commonly used electric heating technologies, or electrotechnologies.</t>
  </si>
  <si>
    <t xml:space="preserve">Resistance heating can be applied directly or indirectly. Direct resistance heating of a material uses the material being processed as an electrical resistor to generate heat when electric current is passed through the material itself. An example of direct resistance heating is electric boosting or electric melting in a glass melting furnace. Indirect resistance heating uses electrical resistance modules or heating elements to generate heat, which is transferred to the material being heated by direct radiation or by a combination of radiation and convection heating, in which air or gas circulates. If exposing the heating elements to the furnace atmosphere or surrounds is unfeasible, then a protective tube or an enclosure referred to as a muffle is used. In this case, the protective tube or muffle is heated by the electrical heating elements, and heat from the protective device is transferred to the material being heated by convection and radiation.  </t>
  </si>
  <si>
    <t xml:space="preserve">Electric arc heating, in which an electric arc is struck between an electrode and a metal, is used to heat and melt metals or to provide heat for other processes at very high temperature. The most prominent industrial application of direct arc heating is for melting steel scrap. Other applications include use of a submerged electric arc in the ferro alloy industry. In direct arc melting furnaces, one or more graphite electrodes are used to carry AC or DC current, and an arc is struck between the electrodes and the metal, usually in piles of scrap metal. The arc temperature, ranging from 1,800°C (3,272°F) to 3,000°C (5,432°F), melts the metal scrap. In many cases, arc melting is supplemented with fuel-fired burners to reduce cost and accelerate the melting process.  </t>
  </si>
  <si>
    <t xml:space="preserve">Electric infrared heating involves radiation heat transfer or electromagnetic energy transfer from a heat source that produces wavelength in the range 0.75 µm to 103 µm. This requires emitting sources in the range 500°F to 4200°F. Infrared processing systems are used for heating, drying, curing, thermal-bonding, sintering, and sterilizing applications. </t>
  </si>
  <si>
    <t>Microwave heating or processing involves the interaction of polar water molecules and charged ions. The friction resulting from molecule alignment and migration of charged ions in a rapidly alternating electromagnetic field generates heat within materials such as foods. Microwave heating uses the 915 MHz and 2450 MHz bands in the electromagnetic spectrum for heating applications. Typical industrial applications of microwave heating include food drying or processing, rubber and plastic heating, and the curing of adhesives in plywood and construction lumber.</t>
  </si>
  <si>
    <t xml:space="preserve">Radio-frequency (RF) heating is in the same class as microwave heating. While high-frequency microwave has a wavelength from 300 MHz to 300 GHz, the RF frequency spectrum is from 3 MHz to 300 MHz. Radio-frequency waves are longer than microwaves, enabling them to penetrate  larger objects better than microwave energy. Typical applications of RF heating include drying natural and synthetic textiles; drying water-based adhesives, emulsions, and coatings; preheating fiber mat board; and removing moisture from glass fibers. </t>
  </si>
  <si>
    <t>Electron beam (EB) processing involves use of the kinetic energy from an accelerated stream of electrons to produce heat or chemical and physical changes in various substances at the location of impingement of the electrons. Use of EB in appropriate applications offers several advantages, such as superior process control; tighter tolerances; elimination of limitations in polymer compositions, compounding, and extrusion; and shorter treatment times. EB is primarily used by the automotive and aerospace industries in welding thick material to thin material, joining dissimilar metals, and joining some combinations that are unweldable. Recently EB has been applied to surface heat treatment such as hardening of high-wear components. Other applications include low temperature processing of materials, and curing of multiple layers of web material with simultaneous curing of surface coatings.</t>
  </si>
  <si>
    <t xml:space="preserve">Ultraviolet (UV) processing utilizes electromagnetic energy within a wavelength of 4 to 400 nm. UV processing involves application of UV radiation to certain liquid polymeric substances to transform them into a solid coating. UV curing is fundamentally different from the conventional thermal drying process since exposure to UV radiation changes the molecular structure of a coating to form a solid without using a solvent. Typical applications of UV processing include curing thick layers, such as in floor coverings; in-depth drying of heavy ink coats, as in silk screen printing; surface hardening of organic coatings; and curing of polymeric materials in electronic parts manufacturing.   </t>
  </si>
  <si>
    <t>Plasma heating uses a special form of ionized gas that conducts electricity. It is generated by using two water-cooled electrodes with a gap in between to create an arc that can be described as a "white glow" and looks similar to lightning bolts. Plasmas can be generated in a wide range of temperatures reaching millions of degrees (e.g., in fusion reactors); however, typical industrial uses of thermal plasmas achieve temperatures from 5,000 to 10,000°C (9,000 to 18,000°F). Industrial applications of plasma heating systems include municipal waste management, ladle and tundish heating, melting (ferrous and nonferrous metals), vacuum melting, recovery processes, and hazardous waste treatments.</t>
  </si>
  <si>
    <t xml:space="preserve">Laser heating uses a laser beam to strike the material being heated. A laser is a coherent and focused beam of photons, meaning that the beam is all one wavelength, unlike ordinary light that showers on us in many wavelengths. Laser heating is used for numerous heating applications. It can heat locally and melt material at the desired area of a part to be processed. Laser heating is widely used to heat-treat parts by rapidly and efficiently heating a selected area of a metal component above its transformational temperature. </t>
  </si>
  <si>
    <t>Select option from drop-down menu: electric only or hybrid (electric-fuel)</t>
  </si>
  <si>
    <t>Select from drop-down menu: batch or continuous</t>
  </si>
  <si>
    <t>Give name of fuel type, if used</t>
  </si>
  <si>
    <t>Fuel energy cost per ton of shipped parts</t>
  </si>
  <si>
    <t>Electric energy cost per ton of shipped parts</t>
  </si>
  <si>
    <t xml:space="preserve">Equipment amortization </t>
  </si>
  <si>
    <t>Motor 8</t>
  </si>
  <si>
    <t>Other Utility Costs</t>
  </si>
  <si>
    <t>Water or other liquids: cost is based on 1000 gallons, or $/1000 gallons</t>
  </si>
  <si>
    <t>Air or other gases: cost is based on 1000 standard cubic feet (scf) or, $/1000 scf.</t>
  </si>
  <si>
    <t>Other 1</t>
  </si>
  <si>
    <t>Other 2</t>
  </si>
  <si>
    <t>Other 3</t>
  </si>
  <si>
    <t>Maintenance labor cost (fully burdened)</t>
  </si>
  <si>
    <t>The cost should be "fully burdened" as defined by the company; that is, the cost should include actual salary, overheads, G&amp;A cost, etc.  You may use a fixed or flat value, or calculate it by using detailed accounting information.</t>
  </si>
  <si>
    <t xml:space="preserve"> Blue - Select from the drop-down list</t>
  </si>
  <si>
    <r>
      <rPr>
        <b/>
        <sz val="12"/>
        <color theme="1"/>
        <rFont val="Calibri"/>
        <family val="2"/>
        <scheme val="minor"/>
      </rPr>
      <t>Name of the Material</t>
    </r>
    <r>
      <rPr>
        <sz val="12"/>
        <color theme="1"/>
        <rFont val="Calibri"/>
        <family val="2"/>
        <scheme val="minor"/>
      </rPr>
      <t xml:space="preserve"> (choose from drop-down list). The property values for the material are populated based on a standardized table; please overwrite the formula if the property values need to be defined by the user.</t>
    </r>
  </si>
  <si>
    <t>Charge feed rate (select units from drop-down)</t>
  </si>
  <si>
    <t>Charge (wet)-Feed Rate (select units from dropdown)</t>
  </si>
  <si>
    <t>Other Liquid 2</t>
  </si>
  <si>
    <t>Other Gas</t>
  </si>
  <si>
    <t xml:space="preserve">To understand the lifecycle cost associated with the process change please use DOE's Lifecycle Industry GreenHouse gas, Technology and Energy through the Use Phase (LIGHTEnUP) tool </t>
  </si>
  <si>
    <t>https://eta.lbl.gov/publications/lifecycle-industry-greenhouse-gas</t>
  </si>
  <si>
    <r>
      <rPr>
        <b/>
        <sz val="12"/>
        <rFont val="Calibri"/>
        <family val="2"/>
        <scheme val="minor"/>
      </rPr>
      <t xml:space="preserve">Name of the Material (Choose From  List): </t>
    </r>
    <r>
      <rPr>
        <sz val="12"/>
        <rFont val="Calibri"/>
        <family val="2"/>
        <scheme val="minor"/>
      </rPr>
      <t>The property values for the material is populated based on a standardized table, please overwrite the formula if the property values needs to be defined by the user.</t>
    </r>
  </si>
  <si>
    <r>
      <rPr>
        <b/>
        <sz val="12"/>
        <color theme="1"/>
        <rFont val="Calibri"/>
        <family val="2"/>
        <scheme val="minor"/>
      </rPr>
      <t>Name of the Material (Choose From  List)</t>
    </r>
    <r>
      <rPr>
        <sz val="12"/>
        <color theme="1"/>
        <rFont val="Calibri"/>
        <family val="2"/>
        <scheme val="minor"/>
      </rPr>
      <t>; The property values for the material is populated based on a standardized table, please overwrite the formula if the property values needs to be defined by the user.</t>
    </r>
  </si>
  <si>
    <t xml:space="preserve">This step can be skipped if energy data is available through direct measurement or from supplier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</si>
</sst>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_(&quot;$&quot;* \(#,##0.00\);_(&quot;$&quot;* &quot;-&quot;??_);_(@_)"/>
    <numFmt numFmtId="43" formatCode="_(* #,##0.00_);_(* \(#,##0.00\);_(* &quot;-&quot;??_);_(@_)"/>
    <numFmt numFmtId="164" formatCode="#,##0.0"/>
    <numFmt numFmtId="165" formatCode="0.0%"/>
    <numFmt numFmtId="166" formatCode="_(* #,##0_);_(* \(#,##0\);_(* &quot;-&quot;??_);_(@_)"/>
    <numFmt numFmtId="167" formatCode="_(&quot;$&quot;* #,##0_);_(&quot;$&quot;* \(#,##0\);_(&quot;$&quot;* &quot;-&quot;??_);_(@_)"/>
    <numFmt numFmtId="168" formatCode="0.0000"/>
    <numFmt numFmtId="169" formatCode="0.0"/>
    <numFmt numFmtId="170" formatCode="_(* #,##0.0000_);_(* \(#,##0.0000\);_(* &quot;-&quot;??_);_(@_)"/>
    <numFmt numFmtId="171" formatCode="_(* #,##0.0_);_(* \(#,##0.0\);_(* &quot;-&quot;??_);_(@_)"/>
    <numFmt numFmtId="172" formatCode="_(&quot;$&quot;* #,##0.000_);_(&quot;$&quot;* \(#,##0.000\);_(&quot;$&quot;* &quot;-&quot;??_);_(@_)"/>
    <numFmt numFmtId="173" formatCode="_(* #,##0_);_(* \(#,##0\);_(* &quot;-&quot;?_);_(@_)"/>
    <numFmt numFmtId="174" formatCode="_(&quot;$&quot;* #,##0.0000_);_(&quot;$&quot;* \(#,##0.0000\);_(&quot;$&quot;* &quot;-&quot;??_);_(@_)"/>
    <numFmt numFmtId="175" formatCode="#,##0.000_);\(#,##0.000\)"/>
    <numFmt numFmtId="176" formatCode="_(&quot;$&quot;* #,##0.00000_);_(&quot;$&quot;* \(#,##0.00000\);_(&quot;$&quot;* &quot;-&quot;??_);_(@_)"/>
    <numFmt numFmtId="177" formatCode="0.0000000"/>
    <numFmt numFmtId="178" formatCode="0.00000"/>
    <numFmt numFmtId="179" formatCode="&quot;$&quot;#,##0"/>
    <numFmt numFmtId="180" formatCode="0.000"/>
  </numFmts>
  <fonts count="100">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2"/>
      <color rgb="FF0033CC"/>
      <name val="Calibri"/>
      <family val="2"/>
      <scheme val="minor"/>
    </font>
    <font>
      <b/>
      <sz val="14"/>
      <color rgb="FF0033CC"/>
      <name val="Calibri"/>
      <family val="2"/>
      <scheme val="minor"/>
    </font>
    <font>
      <sz val="10"/>
      <name val="Arial"/>
      <family val="2"/>
    </font>
    <font>
      <sz val="12"/>
      <name val="Arial"/>
      <family val="2"/>
    </font>
    <font>
      <vertAlign val="superscript"/>
      <sz val="10"/>
      <name val="Arial"/>
      <family val="2"/>
    </font>
    <font>
      <sz val="12"/>
      <color indexed="60"/>
      <name val="Arial"/>
      <family val="2"/>
    </font>
    <font>
      <b/>
      <sz val="16"/>
      <name val="Arial"/>
      <family val="2"/>
    </font>
    <font>
      <b/>
      <sz val="14"/>
      <name val="Arial"/>
      <family val="2"/>
    </font>
    <font>
      <vertAlign val="superscript"/>
      <sz val="12"/>
      <name val="Arial"/>
      <family val="2"/>
    </font>
    <font>
      <b/>
      <sz val="12"/>
      <name val="Arial"/>
      <family val="2"/>
    </font>
    <font>
      <b/>
      <sz val="12"/>
      <color indexed="17"/>
      <name val="Arial"/>
      <family val="2"/>
    </font>
    <font>
      <b/>
      <sz val="12"/>
      <color indexed="12"/>
      <name val="Arial"/>
      <family val="2"/>
    </font>
    <font>
      <b/>
      <sz val="12"/>
      <color indexed="56"/>
      <name val="Arial"/>
      <family val="2"/>
    </font>
    <font>
      <sz val="10"/>
      <color theme="4" tint="0.39997558519241921"/>
      <name val="Arial"/>
      <family val="2"/>
    </font>
    <font>
      <sz val="12"/>
      <color theme="4" tint="0.39997558519241921"/>
      <name val="Arial"/>
      <family val="2"/>
    </font>
    <font>
      <b/>
      <sz val="14"/>
      <color theme="4" tint="0.3999755851924192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rgb="FF3416EA"/>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u/>
      <sz val="12"/>
      <color theme="10"/>
      <name val="Calibri"/>
      <family val="2"/>
      <scheme val="minor"/>
    </font>
    <font>
      <b/>
      <sz val="10"/>
      <name val="Arial"/>
      <family val="2"/>
    </font>
    <font>
      <b/>
      <sz val="13.5"/>
      <color theme="1"/>
      <name val="Calibri"/>
      <family val="2"/>
      <scheme val="minor"/>
    </font>
    <font>
      <i/>
      <vertAlign val="subscript"/>
      <sz val="12"/>
      <color theme="1"/>
      <name val="Calibri"/>
      <family val="2"/>
      <scheme val="minor"/>
    </font>
    <font>
      <b/>
      <i/>
      <sz val="12"/>
      <color theme="1"/>
      <name val="Calibri"/>
      <family val="2"/>
      <scheme val="minor"/>
    </font>
    <font>
      <b/>
      <i/>
      <u/>
      <sz val="12"/>
      <color theme="10"/>
      <name val="Calibri"/>
      <family val="2"/>
      <scheme val="minor"/>
    </font>
    <font>
      <sz val="11"/>
      <name val="Arial"/>
      <family val="2"/>
    </font>
    <font>
      <sz val="10"/>
      <color theme="1"/>
      <name val="Calibri"/>
      <family val="2"/>
      <scheme val="minor"/>
    </font>
    <font>
      <b/>
      <sz val="10"/>
      <color indexed="12"/>
      <name val="Arial"/>
      <family val="2"/>
    </font>
    <font>
      <sz val="10"/>
      <color theme="1"/>
      <name val="Arial"/>
      <family val="2"/>
    </font>
    <font>
      <sz val="10"/>
      <color indexed="12"/>
      <name val="Arial"/>
      <family val="2"/>
    </font>
    <font>
      <b/>
      <sz val="18"/>
      <color theme="1"/>
      <name val="Calibri"/>
      <family val="2"/>
      <scheme val="minor"/>
    </font>
    <font>
      <b/>
      <i/>
      <u/>
      <sz val="14"/>
      <color theme="10"/>
      <name val="Calibri"/>
      <family val="2"/>
      <scheme val="minor"/>
    </font>
    <font>
      <sz val="11"/>
      <color theme="1"/>
      <name val="Arial"/>
      <family val="2"/>
    </font>
    <font>
      <sz val="11"/>
      <color theme="1"/>
      <name val="Arial Rounded MT Bold"/>
      <family val="2"/>
    </font>
    <font>
      <b/>
      <u/>
      <sz val="14"/>
      <color theme="10"/>
      <name val="Calibri"/>
      <family val="2"/>
      <scheme val="minor"/>
    </font>
    <font>
      <sz val="14"/>
      <color theme="1"/>
      <name val="Calibri"/>
      <family val="2"/>
      <scheme val="minor"/>
    </font>
    <font>
      <sz val="14"/>
      <color rgb="FF000000"/>
      <name val="Calibri"/>
      <family val="2"/>
      <scheme val="minor"/>
    </font>
    <font>
      <sz val="12"/>
      <color rgb="FF000000"/>
      <name val="Calibri"/>
      <family val="2"/>
      <scheme val="minor"/>
    </font>
    <font>
      <b/>
      <sz val="12"/>
      <color rgb="FF3416EA"/>
      <name val="Arial"/>
      <family val="2"/>
    </font>
    <font>
      <b/>
      <sz val="12"/>
      <color rgb="FFC00000"/>
      <name val="Calibri"/>
      <family val="2"/>
      <scheme val="minor"/>
    </font>
    <font>
      <sz val="12"/>
      <color rgb="FFC00000"/>
      <name val="Calibri"/>
      <family val="2"/>
      <scheme val="minor"/>
    </font>
    <font>
      <sz val="12"/>
      <color rgb="FF3416EA"/>
      <name val="Calibri"/>
      <family val="2"/>
      <scheme val="minor"/>
    </font>
    <font>
      <sz val="11"/>
      <name val="Arial Rounded MT Bold"/>
      <family val="2"/>
    </font>
    <font>
      <sz val="10"/>
      <color theme="3"/>
      <name val="Arial Rounded MT Bold"/>
      <family val="2"/>
    </font>
    <font>
      <b/>
      <sz val="14"/>
      <color indexed="16"/>
      <name val="Arial"/>
      <family val="2"/>
    </font>
    <font>
      <sz val="8"/>
      <name val="Arial"/>
      <family val="2"/>
    </font>
    <font>
      <sz val="10"/>
      <color rgb="FF0033CC"/>
      <name val="Arial"/>
      <family val="2"/>
    </font>
    <font>
      <b/>
      <sz val="16"/>
      <color theme="1"/>
      <name val="Calibri"/>
      <family val="2"/>
      <scheme val="minor"/>
    </font>
    <font>
      <shadow/>
      <sz val="16"/>
      <color theme="0"/>
      <name val="Arial Rounded MT Bold"/>
      <family val="2"/>
    </font>
    <font>
      <sz val="16"/>
      <color theme="0"/>
      <name val="Arial"/>
      <family val="2"/>
    </font>
    <font>
      <b/>
      <sz val="12"/>
      <color theme="0"/>
      <name val="Arial"/>
      <family val="2"/>
    </font>
    <font>
      <b/>
      <sz val="12"/>
      <color theme="0"/>
      <name val="Calibri"/>
      <family val="2"/>
      <scheme val="minor"/>
    </font>
    <font>
      <sz val="20"/>
      <color theme="0"/>
      <name val="Arial"/>
      <family val="2"/>
    </font>
    <font>
      <b/>
      <sz val="14"/>
      <color theme="0"/>
      <name val="Calibri"/>
      <family val="2"/>
      <scheme val="minor"/>
    </font>
    <font>
      <sz val="12"/>
      <color theme="0"/>
      <name val="Calibri"/>
      <family val="2"/>
      <scheme val="minor"/>
    </font>
    <font>
      <b/>
      <sz val="11"/>
      <color theme="1"/>
      <name val="Arial"/>
      <family val="2"/>
    </font>
    <font>
      <b/>
      <sz val="16"/>
      <color theme="0"/>
      <name val="Calibri"/>
      <family val="2"/>
      <scheme val="minor"/>
    </font>
    <font>
      <b/>
      <sz val="20"/>
      <color theme="1"/>
      <name val="Calibri"/>
      <family val="2"/>
      <scheme val="minor"/>
    </font>
    <font>
      <sz val="16"/>
      <color theme="1"/>
      <name val="Calibri"/>
      <family val="2"/>
      <scheme val="minor"/>
    </font>
    <font>
      <b/>
      <sz val="11"/>
      <name val="Arial"/>
      <family val="2"/>
    </font>
    <font>
      <b/>
      <u/>
      <sz val="20"/>
      <color theme="1"/>
      <name val="Calibri"/>
      <family val="2"/>
      <scheme val="minor"/>
    </font>
    <font>
      <sz val="20"/>
      <color theme="1"/>
      <name val="Calibri"/>
      <family val="2"/>
      <scheme val="minor"/>
    </font>
    <font>
      <sz val="12"/>
      <name val="Calibri"/>
      <family val="2"/>
      <scheme val="minor"/>
    </font>
    <font>
      <b/>
      <sz val="12"/>
      <name val="Calibri"/>
      <family val="2"/>
      <scheme val="minor"/>
    </font>
    <font>
      <b/>
      <sz val="10"/>
      <color theme="1"/>
      <name val="Arial"/>
      <family val="2"/>
    </font>
    <font>
      <sz val="10"/>
      <name val="MS Sans Serif"/>
      <family val="2"/>
    </font>
    <font>
      <sz val="10"/>
      <color theme="7" tint="0.39997558519241921"/>
      <name val="Arial"/>
      <family val="2"/>
    </font>
    <font>
      <sz val="10"/>
      <color theme="3" tint="0.59999389629810485"/>
      <name val="Arial"/>
      <family val="2"/>
    </font>
    <font>
      <sz val="10"/>
      <color rgb="FFFF0000"/>
      <name val="Arial"/>
      <family val="2"/>
    </font>
    <font>
      <vertAlign val="superscript"/>
      <sz val="11"/>
      <name val="Arial"/>
      <family val="2"/>
    </font>
    <font>
      <sz val="11"/>
      <color theme="4" tint="0.39997558519241921"/>
      <name val="Arial"/>
      <family val="2"/>
    </font>
    <font>
      <b/>
      <sz val="10"/>
      <name val="Calibri"/>
      <family val="2"/>
      <scheme val="minor"/>
    </font>
    <font>
      <b/>
      <sz val="9"/>
      <color rgb="FF000000"/>
      <name val="Tahoma"/>
      <family val="2"/>
    </font>
    <font>
      <sz val="9"/>
      <color rgb="FF000000"/>
      <name val="Tahoma"/>
      <family val="2"/>
    </font>
    <font>
      <sz val="10"/>
      <color theme="10"/>
      <name val="Arial"/>
      <family val="2"/>
    </font>
  </fonts>
  <fills count="53">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theme="9" tint="0.79998168889431442"/>
        <bgColor indexed="64"/>
      </patternFill>
    </fill>
    <fill>
      <patternFill patternType="solid">
        <fgColor indexed="13"/>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FF"/>
        <bgColor indexed="64"/>
      </patternFill>
    </fill>
    <fill>
      <patternFill patternType="solid">
        <fgColor theme="0"/>
        <bgColor indexed="64"/>
      </patternFill>
    </fill>
    <fill>
      <patternFill patternType="solid">
        <fgColor rgb="FFE5E5E5"/>
        <bgColor indexed="64"/>
      </patternFill>
    </fill>
    <fill>
      <patternFill patternType="solid">
        <fgColor rgb="FFBDC5DB"/>
        <bgColor indexed="64"/>
      </patternFill>
    </fill>
    <fill>
      <patternFill patternType="solid">
        <fgColor theme="3"/>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lightUp">
        <fgColor theme="1" tint="0.499984740745262"/>
        <bgColor theme="0"/>
      </patternFill>
    </fill>
    <fill>
      <patternFill patternType="solid">
        <fgColor theme="4" tint="0.79998168889431442"/>
        <bgColor indexed="64"/>
      </patternFill>
    </fill>
    <fill>
      <patternFill patternType="solid">
        <fgColor theme="7" tint="0.79998168889431442"/>
        <bgColor indexed="64"/>
      </patternFill>
    </fill>
    <fill>
      <patternFill patternType="lightUp">
        <bgColor theme="0" tint="-0.24994659260841701"/>
      </patternFill>
    </fill>
    <fill>
      <patternFill patternType="lightUp">
        <bgColor theme="0" tint="-0.34998626667073579"/>
      </patternFill>
    </fill>
    <fill>
      <patternFill patternType="solid">
        <fgColor theme="0" tint="-0.499984740745262"/>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s>
  <borders count="2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dotted">
        <color indexed="64"/>
      </top>
      <bottom/>
      <diagonal/>
    </border>
    <border>
      <left style="thin">
        <color indexed="64"/>
      </left>
      <right style="medium">
        <color indexed="64"/>
      </right>
      <top style="medium">
        <color indexed="64"/>
      </top>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medium">
        <color indexed="64"/>
      </left>
      <right/>
      <top style="dotted">
        <color indexed="64"/>
      </top>
      <bottom/>
      <diagonal/>
    </border>
    <border>
      <left style="medium">
        <color indexed="64"/>
      </left>
      <right/>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ashed">
        <color indexed="64"/>
      </top>
      <bottom style="medium">
        <color indexed="64"/>
      </bottom>
      <diagonal/>
    </border>
    <border>
      <left style="thin">
        <color indexed="64"/>
      </left>
      <right/>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ashed">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ashed">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medium">
        <color auto="1"/>
      </left>
      <right/>
      <top style="thin">
        <color auto="1"/>
      </top>
      <bottom style="medium">
        <color auto="1"/>
      </bottom>
      <diagonal/>
    </border>
    <border>
      <left/>
      <right style="dotted">
        <color auto="1"/>
      </right>
      <top style="medium">
        <color auto="1"/>
      </top>
      <bottom style="thin">
        <color auto="1"/>
      </bottom>
      <diagonal/>
    </border>
    <border>
      <left/>
      <right style="dotted">
        <color auto="1"/>
      </right>
      <top style="thin">
        <color auto="1"/>
      </top>
      <bottom style="thin">
        <color auto="1"/>
      </bottom>
      <diagonal/>
    </border>
    <border>
      <left/>
      <right style="dotted">
        <color auto="1"/>
      </right>
      <top style="thin">
        <color auto="1"/>
      </top>
      <bottom style="medium">
        <color auto="1"/>
      </bottom>
      <diagonal/>
    </border>
    <border>
      <left style="thin">
        <color indexed="64"/>
      </left>
      <right style="thin">
        <color indexed="64"/>
      </right>
      <top style="thin">
        <color auto="1"/>
      </top>
      <bottom style="medium">
        <color auto="1"/>
      </bottom>
      <diagonal/>
    </border>
    <border>
      <left style="dotted">
        <color auto="1"/>
      </left>
      <right style="dotted">
        <color auto="1"/>
      </right>
      <top style="thin">
        <color indexed="64"/>
      </top>
      <bottom style="medium">
        <color indexed="64"/>
      </bottom>
      <diagonal/>
    </border>
    <border>
      <left style="dotted">
        <color auto="1"/>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dotted">
        <color indexed="64"/>
      </top>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medium">
        <color auto="1"/>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64"/>
      </bottom>
      <diagonal/>
    </border>
  </borders>
  <cellStyleXfs count="5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xf numFmtId="43" fontId="7"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7" borderId="0" applyNumberFormat="0" applyBorder="0" applyAlignment="0" applyProtection="0"/>
    <xf numFmtId="0" fontId="23" fillId="11" borderId="0" applyNumberFormat="0" applyBorder="0" applyAlignment="0" applyProtection="0"/>
    <xf numFmtId="0" fontId="24" fillId="28" borderId="63" applyNumberFormat="0" applyAlignment="0" applyProtection="0"/>
    <xf numFmtId="0" fontId="25" fillId="29" borderId="6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26" fillId="0" borderId="0" applyNumberFormat="0" applyFill="0" applyBorder="0" applyAlignment="0" applyProtection="0"/>
    <xf numFmtId="0" fontId="27" fillId="12" borderId="0" applyNumberFormat="0" applyBorder="0" applyAlignment="0" applyProtection="0"/>
    <xf numFmtId="0" fontId="28" fillId="0" borderId="65" applyNumberFormat="0" applyFill="0" applyAlignment="0" applyProtection="0"/>
    <xf numFmtId="0" fontId="29" fillId="0" borderId="66" applyNumberFormat="0" applyFill="0" applyAlignment="0" applyProtection="0"/>
    <xf numFmtId="0" fontId="30" fillId="0" borderId="67"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15" borderId="63" applyNumberFormat="0" applyAlignment="0" applyProtection="0"/>
    <xf numFmtId="0" fontId="33" fillId="0" borderId="68" applyNumberFormat="0" applyFill="0" applyAlignment="0" applyProtection="0"/>
    <xf numFmtId="0" fontId="34" fillId="30" borderId="0" applyNumberFormat="0" applyBorder="0" applyAlignment="0" applyProtection="0"/>
    <xf numFmtId="0" fontId="35" fillId="0" borderId="0"/>
    <xf numFmtId="0" fontId="7" fillId="0" borderId="0"/>
    <xf numFmtId="0" fontId="7" fillId="31" borderId="69" applyNumberFormat="0" applyFont="0" applyAlignment="0" applyProtection="0"/>
    <xf numFmtId="0" fontId="36" fillId="28" borderId="70" applyNumberFormat="0" applyAlignment="0" applyProtection="0"/>
    <xf numFmtId="9" fontId="7" fillId="0" borderId="0" applyFont="0" applyFill="0" applyBorder="0" applyAlignment="0" applyProtection="0"/>
    <xf numFmtId="0" fontId="37" fillId="0" borderId="0" applyNumberFormat="0" applyFill="0" applyBorder="0" applyAlignment="0" applyProtection="0"/>
    <xf numFmtId="0" fontId="38" fillId="0" borderId="71" applyNumberFormat="0" applyFill="0" applyAlignment="0" applyProtection="0"/>
    <xf numFmtId="0" fontId="39" fillId="0" borderId="0" applyNumberFormat="0" applyFill="0" applyBorder="0" applyAlignment="0" applyProtection="0"/>
    <xf numFmtId="0" fontId="44" fillId="0" borderId="0" applyNumberFormat="0" applyFill="0" applyBorder="0" applyAlignment="0" applyProtection="0"/>
    <xf numFmtId="0" fontId="53" fillId="0" borderId="0"/>
    <xf numFmtId="0" fontId="1" fillId="0" borderId="0"/>
    <xf numFmtId="0" fontId="53" fillId="0" borderId="0"/>
    <xf numFmtId="0" fontId="90" fillId="0" borderId="0"/>
  </cellStyleXfs>
  <cellXfs count="1201">
    <xf numFmtId="0" fontId="0" fillId="0" borderId="0" xfId="0"/>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0" xfId="0" applyFont="1" applyAlignment="1">
      <alignment vertical="center" wrapText="1"/>
    </xf>
    <xf numFmtId="44" fontId="0" fillId="2" borderId="8" xfId="0" applyNumberForma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1" xfId="0" applyBorder="1" applyAlignment="1">
      <alignment horizontal="center" vertical="center" wrapText="1"/>
    </xf>
    <xf numFmtId="166" fontId="0" fillId="4" borderId="8" xfId="1" applyNumberFormat="1" applyFont="1" applyFill="1" applyBorder="1" applyAlignment="1">
      <alignment vertical="center" wrapText="1"/>
    </xf>
    <xf numFmtId="0" fontId="0" fillId="4" borderId="8" xfId="0" applyFill="1" applyBorder="1" applyAlignment="1">
      <alignment vertical="center" wrapText="1"/>
    </xf>
    <xf numFmtId="44" fontId="0" fillId="4" borderId="8" xfId="0" applyNumberFormat="1" applyFill="1" applyBorder="1" applyAlignment="1">
      <alignment vertical="center" wrapText="1"/>
    </xf>
    <xf numFmtId="43" fontId="0" fillId="4" borderId="8" xfId="1" applyFont="1" applyFill="1" applyBorder="1" applyAlignment="1">
      <alignment vertical="center" wrapText="1"/>
    </xf>
    <xf numFmtId="165" fontId="0" fillId="4" borderId="8" xfId="3" applyNumberFormat="1" applyFont="1" applyFill="1" applyBorder="1" applyAlignment="1">
      <alignment vertical="center" wrapText="1"/>
    </xf>
    <xf numFmtId="9" fontId="0" fillId="4" borderId="8" xfId="3" applyFont="1" applyFill="1" applyBorder="1" applyAlignment="1">
      <alignment vertical="center" wrapText="1"/>
    </xf>
    <xf numFmtId="167" fontId="0" fillId="4" borderId="8" xfId="2" applyNumberFormat="1" applyFont="1" applyFill="1" applyBorder="1" applyAlignment="1">
      <alignment vertical="center" wrapText="1"/>
    </xf>
    <xf numFmtId="44" fontId="0" fillId="4" borderId="11" xfId="2" applyNumberFormat="1" applyFont="1" applyFill="1" applyBorder="1" applyAlignment="1">
      <alignment vertical="center" wrapText="1"/>
    </xf>
    <xf numFmtId="0" fontId="0" fillId="0" borderId="28" xfId="0" applyBorder="1" applyAlignment="1" applyProtection="1">
      <alignment vertical="center" wrapText="1"/>
      <protection locked="0"/>
    </xf>
    <xf numFmtId="0" fontId="0" fillId="0" borderId="8" xfId="0" applyBorder="1" applyAlignment="1" applyProtection="1">
      <alignment vertical="center" wrapText="1"/>
      <protection locked="0"/>
    </xf>
    <xf numFmtId="44" fontId="0" fillId="0" borderId="8" xfId="2" applyFont="1" applyBorder="1" applyAlignment="1" applyProtection="1">
      <alignment vertical="center" wrapText="1"/>
      <protection locked="0"/>
    </xf>
    <xf numFmtId="44" fontId="0" fillId="0" borderId="8" xfId="0" applyNumberFormat="1" applyBorder="1" applyAlignment="1" applyProtection="1">
      <alignment vertical="center" wrapText="1"/>
      <protection locked="0"/>
    </xf>
    <xf numFmtId="165" fontId="0" fillId="0" borderId="8" xfId="3" applyNumberFormat="1" applyFont="1" applyBorder="1" applyAlignment="1" applyProtection="1">
      <alignment vertical="center" wrapText="1"/>
      <protection locked="0"/>
    </xf>
    <xf numFmtId="166" fontId="0" fillId="0" borderId="8" xfId="1" applyNumberFormat="1" applyFont="1" applyBorder="1" applyAlignment="1" applyProtection="1">
      <alignment vertical="center" wrapText="1"/>
      <protection locked="0"/>
    </xf>
    <xf numFmtId="167" fontId="0" fillId="0" borderId="8" xfId="2" applyNumberFormat="1" applyFont="1" applyBorder="1" applyAlignment="1" applyProtection="1">
      <alignment vertical="center" wrapText="1"/>
      <protection locked="0"/>
    </xf>
    <xf numFmtId="10" fontId="0" fillId="0" borderId="8" xfId="3" applyNumberFormat="1" applyFont="1" applyBorder="1" applyAlignment="1" applyProtection="1">
      <alignment vertical="center" wrapText="1"/>
      <protection locked="0"/>
    </xf>
    <xf numFmtId="0" fontId="8" fillId="0" borderId="0" xfId="4" applyFont="1" applyProtection="1">
      <protection locked="0"/>
    </xf>
    <xf numFmtId="0" fontId="11" fillId="6" borderId="2" xfId="4" applyFont="1" applyFill="1" applyBorder="1" applyAlignment="1" applyProtection="1">
      <alignment vertical="center" wrapText="1"/>
    </xf>
    <xf numFmtId="0" fontId="11" fillId="6" borderId="3" xfId="4" applyFont="1" applyFill="1" applyBorder="1" applyAlignment="1" applyProtection="1">
      <alignment vertical="center" wrapText="1"/>
    </xf>
    <xf numFmtId="0" fontId="8" fillId="7" borderId="14" xfId="4" applyFont="1" applyFill="1" applyBorder="1" applyAlignment="1" applyProtection="1">
      <alignment horizontal="center" vertical="center" wrapText="1"/>
    </xf>
    <xf numFmtId="0" fontId="8" fillId="0" borderId="0" xfId="4" applyFont="1" applyAlignment="1" applyProtection="1">
      <alignment vertical="center" wrapText="1"/>
      <protection locked="0"/>
    </xf>
    <xf numFmtId="0" fontId="7" fillId="8" borderId="0" xfId="4" applyFill="1" applyProtection="1"/>
    <xf numFmtId="0" fontId="12" fillId="0" borderId="0" xfId="4" applyFont="1" applyProtection="1">
      <protection locked="0"/>
    </xf>
    <xf numFmtId="0" fontId="8" fillId="9" borderId="38" xfId="4" applyFont="1" applyFill="1" applyBorder="1" applyAlignment="1" applyProtection="1">
      <alignment horizontal="center" vertical="center" wrapText="1"/>
      <protection locked="0"/>
    </xf>
    <xf numFmtId="0" fontId="8" fillId="6" borderId="41" xfId="4" applyFont="1" applyFill="1" applyBorder="1" applyAlignment="1" applyProtection="1">
      <alignment vertical="center" wrapText="1"/>
    </xf>
    <xf numFmtId="165" fontId="8" fillId="0" borderId="43" xfId="4" applyNumberFormat="1" applyFont="1" applyFill="1" applyBorder="1" applyAlignment="1" applyProtection="1">
      <alignment horizontal="center" vertical="center" wrapText="1"/>
      <protection locked="0"/>
    </xf>
    <xf numFmtId="165" fontId="8" fillId="0" borderId="44" xfId="4" applyNumberFormat="1" applyFont="1" applyFill="1" applyBorder="1" applyAlignment="1" applyProtection="1">
      <alignment horizontal="center" vertical="center" wrapText="1"/>
      <protection locked="0"/>
    </xf>
    <xf numFmtId="3" fontId="8" fillId="0" borderId="43" xfId="4" applyNumberFormat="1" applyFont="1" applyFill="1" applyBorder="1" applyAlignment="1" applyProtection="1">
      <alignment horizontal="center" vertical="center" wrapText="1"/>
      <protection locked="0"/>
    </xf>
    <xf numFmtId="3" fontId="8" fillId="0" borderId="44" xfId="4" applyNumberFormat="1" applyFont="1" applyFill="1" applyBorder="1" applyAlignment="1" applyProtection="1">
      <alignment horizontal="center" vertical="center" wrapText="1"/>
      <protection locked="0"/>
    </xf>
    <xf numFmtId="0" fontId="8" fillId="6" borderId="46" xfId="4" applyFont="1" applyFill="1" applyBorder="1" applyAlignment="1" applyProtection="1">
      <alignment vertical="center" wrapText="1"/>
    </xf>
    <xf numFmtId="0" fontId="8" fillId="6" borderId="48" xfId="4" applyFont="1" applyFill="1" applyBorder="1" applyAlignment="1" applyProtection="1">
      <alignment vertical="center" wrapText="1"/>
    </xf>
    <xf numFmtId="166" fontId="8" fillId="0" borderId="0" xfId="4" applyNumberFormat="1" applyFont="1" applyProtection="1">
      <protection locked="0"/>
    </xf>
    <xf numFmtId="0" fontId="11" fillId="7" borderId="2" xfId="4" applyFont="1" applyFill="1" applyBorder="1" applyAlignment="1" applyProtection="1">
      <alignment vertical="center" wrapText="1"/>
    </xf>
    <xf numFmtId="0" fontId="11" fillId="7" borderId="3" xfId="4" applyFont="1" applyFill="1" applyBorder="1" applyAlignment="1" applyProtection="1">
      <alignment vertical="center" wrapText="1"/>
    </xf>
    <xf numFmtId="3" fontId="8" fillId="0" borderId="50" xfId="4" applyNumberFormat="1" applyFont="1" applyFill="1" applyBorder="1" applyAlignment="1" applyProtection="1">
      <alignment horizontal="center" vertical="center" wrapText="1"/>
      <protection locked="0"/>
    </xf>
    <xf numFmtId="165" fontId="8" fillId="0" borderId="1" xfId="4" applyNumberFormat="1" applyFont="1" applyFill="1" applyBorder="1" applyAlignment="1" applyProtection="1">
      <alignment horizontal="center" vertical="center" wrapText="1"/>
      <protection locked="0"/>
    </xf>
    <xf numFmtId="3" fontId="8" fillId="0" borderId="1" xfId="4" applyNumberFormat="1" applyFont="1" applyFill="1" applyBorder="1" applyAlignment="1" applyProtection="1">
      <alignment horizontal="center" vertical="center" wrapText="1"/>
      <protection locked="0"/>
    </xf>
    <xf numFmtId="3" fontId="8" fillId="0" borderId="55" xfId="4" applyNumberFormat="1" applyFont="1" applyFill="1" applyBorder="1" applyAlignment="1" applyProtection="1">
      <alignment horizontal="center" vertical="center" wrapText="1"/>
      <protection locked="0"/>
    </xf>
    <xf numFmtId="49" fontId="8" fillId="0" borderId="58" xfId="4" applyNumberFormat="1" applyFont="1" applyBorder="1" applyAlignment="1" applyProtection="1">
      <protection locked="0"/>
    </xf>
    <xf numFmtId="0" fontId="7" fillId="0" borderId="59" xfId="4" applyBorder="1" applyAlignment="1" applyProtection="1">
      <protection locked="0"/>
    </xf>
    <xf numFmtId="0" fontId="7" fillId="0" borderId="47" xfId="4" applyBorder="1" applyAlignment="1" applyProtection="1">
      <protection locked="0"/>
    </xf>
    <xf numFmtId="49" fontId="8" fillId="0" borderId="52" xfId="4" applyNumberFormat="1" applyFont="1" applyBorder="1" applyAlignment="1" applyProtection="1">
      <protection locked="0"/>
    </xf>
    <xf numFmtId="0" fontId="7" fillId="0" borderId="53" xfId="4" applyBorder="1" applyAlignment="1" applyProtection="1">
      <protection locked="0"/>
    </xf>
    <xf numFmtId="0" fontId="7" fillId="0" borderId="60" xfId="4" applyBorder="1" applyAlignment="1" applyProtection="1">
      <protection locked="0"/>
    </xf>
    <xf numFmtId="0" fontId="8" fillId="0" borderId="0" xfId="4" applyFont="1"/>
    <xf numFmtId="0" fontId="7" fillId="0" borderId="0" xfId="4" applyAlignment="1" applyProtection="1">
      <alignment wrapText="1"/>
      <protection locked="0"/>
    </xf>
    <xf numFmtId="0" fontId="7" fillId="0" borderId="0" xfId="4" applyFont="1" applyAlignment="1" applyProtection="1">
      <alignment wrapText="1"/>
      <protection locked="0"/>
    </xf>
    <xf numFmtId="0" fontId="8" fillId="0" borderId="0" xfId="4" applyFont="1" applyFill="1" applyBorder="1" applyAlignment="1">
      <alignment vertical="center" wrapText="1"/>
    </xf>
    <xf numFmtId="0" fontId="8" fillId="0" borderId="0" xfId="4" applyFont="1" applyFill="1" applyBorder="1" applyAlignment="1" applyProtection="1">
      <alignment vertical="center" wrapText="1"/>
      <protection locked="0"/>
    </xf>
    <xf numFmtId="0" fontId="8" fillId="0" borderId="0" xfId="4" applyFont="1" applyAlignment="1">
      <alignment vertical="center" wrapText="1"/>
    </xf>
    <xf numFmtId="0" fontId="12" fillId="0" borderId="0" xfId="4" applyFont="1" applyFill="1" applyBorder="1"/>
    <xf numFmtId="0" fontId="12" fillId="0" borderId="0" xfId="4" applyFont="1" applyFill="1" applyBorder="1" applyProtection="1">
      <protection locked="0"/>
    </xf>
    <xf numFmtId="0" fontId="10" fillId="0" borderId="0" xfId="4" applyFont="1" applyFill="1" applyBorder="1" applyAlignment="1" applyProtection="1">
      <alignment horizontal="center" vertical="center" textRotation="90"/>
      <protection locked="0"/>
    </xf>
    <xf numFmtId="0" fontId="7" fillId="0" borderId="0" xfId="4" applyProtection="1">
      <protection locked="0"/>
    </xf>
    <xf numFmtId="0" fontId="18" fillId="0" borderId="0" xfId="4" applyFont="1" applyProtection="1">
      <protection locked="0"/>
    </xf>
    <xf numFmtId="0" fontId="12" fillId="0" borderId="0" xfId="4" applyFont="1"/>
    <xf numFmtId="0" fontId="8" fillId="0" borderId="0" xfId="4" applyFont="1" applyFill="1" applyBorder="1"/>
    <xf numFmtId="0" fontId="8" fillId="7" borderId="0" xfId="4" applyFont="1" applyFill="1" applyBorder="1" applyAlignment="1" applyProtection="1">
      <alignment horizontal="left" vertical="center"/>
      <protection locked="0"/>
    </xf>
    <xf numFmtId="0" fontId="8" fillId="0" borderId="0" xfId="4" applyFont="1" applyFill="1" applyBorder="1" applyProtection="1">
      <protection locked="0"/>
    </xf>
    <xf numFmtId="0" fontId="8" fillId="5" borderId="43" xfId="4" applyFont="1" applyFill="1" applyBorder="1" applyAlignment="1">
      <alignment vertical="center" wrapText="1"/>
    </xf>
    <xf numFmtId="0" fontId="8" fillId="7" borderId="0" xfId="4" applyFont="1" applyFill="1" applyBorder="1" applyAlignment="1" applyProtection="1">
      <alignment horizontal="left" vertical="center" readingOrder="1"/>
      <protection locked="0"/>
    </xf>
    <xf numFmtId="168" fontId="8" fillId="0" borderId="0" xfId="4" applyNumberFormat="1" applyFont="1" applyFill="1" applyBorder="1"/>
    <xf numFmtId="0" fontId="8" fillId="6" borderId="1" xfId="4" applyFont="1" applyFill="1" applyBorder="1" applyAlignment="1" applyProtection="1">
      <alignment horizontal="center" vertical="center" wrapText="1"/>
    </xf>
    <xf numFmtId="2" fontId="8" fillId="0" borderId="0" xfId="4" applyNumberFormat="1" applyFont="1" applyFill="1" applyBorder="1"/>
    <xf numFmtId="0" fontId="13" fillId="6" borderId="1" xfId="4" applyFont="1" applyFill="1" applyBorder="1" applyAlignment="1" applyProtection="1">
      <alignment horizontal="center" vertical="center" wrapText="1"/>
    </xf>
    <xf numFmtId="4" fontId="8" fillId="0" borderId="0" xfId="4" applyNumberFormat="1" applyFont="1" applyFill="1" applyBorder="1"/>
    <xf numFmtId="0" fontId="8" fillId="0" borderId="43" xfId="4" applyFont="1" applyFill="1" applyBorder="1" applyAlignment="1" applyProtection="1">
      <alignment horizontal="center" vertical="center" wrapText="1"/>
      <protection locked="0"/>
    </xf>
    <xf numFmtId="0" fontId="8" fillId="0" borderId="44" xfId="4" applyFont="1" applyFill="1" applyBorder="1" applyAlignment="1" applyProtection="1">
      <alignment horizontal="center" vertical="center" wrapText="1"/>
      <protection locked="0"/>
    </xf>
    <xf numFmtId="9" fontId="8" fillId="0" borderId="0" xfId="4" applyNumberFormat="1" applyFont="1" applyFill="1" applyBorder="1"/>
    <xf numFmtId="0" fontId="19" fillId="0" borderId="0" xfId="4" applyFont="1"/>
    <xf numFmtId="0" fontId="8" fillId="9" borderId="43" xfId="4" applyFont="1" applyFill="1" applyBorder="1" applyAlignment="1" applyProtection="1">
      <alignment horizontal="center" vertical="center" wrapText="1"/>
      <protection locked="0"/>
    </xf>
    <xf numFmtId="0" fontId="8" fillId="9" borderId="44" xfId="4" applyFont="1" applyFill="1" applyBorder="1" applyAlignment="1" applyProtection="1">
      <alignment horizontal="center" vertical="center" wrapText="1"/>
      <protection locked="0"/>
    </xf>
    <xf numFmtId="0" fontId="8" fillId="6" borderId="55" xfId="4" applyFont="1" applyFill="1" applyBorder="1" applyAlignment="1" applyProtection="1">
      <alignment horizontal="center" vertical="center" wrapText="1"/>
    </xf>
    <xf numFmtId="3" fontId="8" fillId="0" borderId="60" xfId="4" applyNumberFormat="1" applyFont="1" applyFill="1" applyBorder="1" applyAlignment="1" applyProtection="1">
      <alignment horizontal="center" vertical="center" wrapText="1"/>
      <protection locked="0"/>
    </xf>
    <xf numFmtId="3" fontId="8" fillId="0" borderId="0" xfId="4" applyNumberFormat="1" applyFont="1" applyFill="1" applyBorder="1"/>
    <xf numFmtId="0" fontId="8" fillId="6" borderId="54" xfId="4" applyFont="1" applyFill="1" applyBorder="1" applyAlignment="1" applyProtection="1">
      <alignment horizontal="center" vertical="center" wrapText="1"/>
    </xf>
    <xf numFmtId="3" fontId="14" fillId="5" borderId="36" xfId="4" applyNumberFormat="1" applyFont="1" applyFill="1" applyBorder="1" applyAlignment="1">
      <alignment horizontal="center" vertical="center" wrapText="1"/>
    </xf>
    <xf numFmtId="3" fontId="14" fillId="5" borderId="26" xfId="4" applyNumberFormat="1" applyFont="1" applyFill="1" applyBorder="1" applyAlignment="1">
      <alignment horizontal="center" vertical="center" wrapText="1"/>
    </xf>
    <xf numFmtId="0" fontId="8" fillId="0" borderId="0" xfId="4" applyFont="1" applyFill="1" applyBorder="1" applyAlignment="1" applyProtection="1">
      <alignment horizontal="center" vertical="center" wrapText="1"/>
    </xf>
    <xf numFmtId="0" fontId="16" fillId="5" borderId="22" xfId="4" applyFont="1" applyFill="1" applyBorder="1" applyAlignment="1">
      <alignment horizontal="left" indent="1"/>
    </xf>
    <xf numFmtId="0" fontId="16" fillId="5" borderId="0" xfId="4" applyFont="1" applyFill="1" applyBorder="1" applyAlignment="1">
      <alignment horizontal="left" indent="1"/>
    </xf>
    <xf numFmtId="166" fontId="8" fillId="0" borderId="0" xfId="5" applyNumberFormat="1" applyFont="1" applyBorder="1"/>
    <xf numFmtId="0" fontId="16" fillId="0" borderId="51" xfId="4" applyFont="1" applyBorder="1" applyAlignment="1">
      <alignment horizontal="left" indent="1"/>
    </xf>
    <xf numFmtId="0" fontId="16" fillId="0" borderId="42" xfId="4" applyFont="1" applyBorder="1" applyAlignment="1">
      <alignment horizontal="left" indent="1"/>
    </xf>
    <xf numFmtId="166" fontId="16" fillId="0" borderId="45" xfId="5" applyNumberFormat="1" applyFont="1" applyBorder="1"/>
    <xf numFmtId="0" fontId="16" fillId="0" borderId="51" xfId="4" applyFont="1" applyBorder="1" applyAlignment="1"/>
    <xf numFmtId="0" fontId="14" fillId="0" borderId="0" xfId="4" applyFont="1"/>
    <xf numFmtId="0" fontId="14" fillId="0" borderId="0" xfId="4" applyFont="1" applyProtection="1">
      <protection locked="0"/>
    </xf>
    <xf numFmtId="0" fontId="8" fillId="6" borderId="61" xfId="4" applyFont="1" applyFill="1" applyBorder="1" applyAlignment="1" applyProtection="1">
      <alignment vertical="center" wrapText="1"/>
    </xf>
    <xf numFmtId="0" fontId="8" fillId="7" borderId="56" xfId="4" applyFont="1" applyFill="1" applyBorder="1" applyAlignment="1" applyProtection="1">
      <alignment horizontal="center" vertical="center" wrapText="1"/>
    </xf>
    <xf numFmtId="3" fontId="17" fillId="5" borderId="56" xfId="4" applyNumberFormat="1" applyFont="1" applyFill="1" applyBorder="1" applyProtection="1"/>
    <xf numFmtId="0" fontId="10" fillId="0" borderId="57" xfId="4" applyFont="1" applyFill="1" applyBorder="1" applyAlignment="1">
      <alignment horizontal="center" vertical="center"/>
    </xf>
    <xf numFmtId="0" fontId="12" fillId="7" borderId="14" xfId="4" applyFont="1" applyFill="1" applyBorder="1" applyAlignment="1">
      <alignment horizontal="center" vertical="center" wrapText="1"/>
    </xf>
    <xf numFmtId="0" fontId="12" fillId="7" borderId="56" xfId="4" applyFont="1" applyFill="1" applyBorder="1" applyAlignment="1">
      <alignment horizontal="center" vertical="center" wrapText="1"/>
    </xf>
    <xf numFmtId="0" fontId="20" fillId="0" borderId="0" xfId="4" applyFont="1"/>
    <xf numFmtId="0" fontId="8" fillId="9" borderId="34" xfId="4" applyFont="1" applyFill="1" applyBorder="1" applyAlignment="1" applyProtection="1">
      <alignment horizontal="center" vertical="center" wrapText="1"/>
      <protection locked="0"/>
    </xf>
    <xf numFmtId="0" fontId="8" fillId="0" borderId="0" xfId="4" applyFont="1" applyFill="1" applyBorder="1" applyAlignment="1">
      <alignment vertical="top" wrapText="1"/>
    </xf>
    <xf numFmtId="0" fontId="8" fillId="0" borderId="0" xfId="4" applyFont="1" applyAlignment="1" applyProtection="1">
      <alignment vertical="top" wrapText="1"/>
      <protection locked="0"/>
    </xf>
    <xf numFmtId="0" fontId="8" fillId="0" borderId="0" xfId="4" applyFont="1" applyAlignment="1">
      <alignment vertical="top" wrapText="1"/>
    </xf>
    <xf numFmtId="0" fontId="19" fillId="0" borderId="0" xfId="4" applyFont="1" applyAlignment="1">
      <alignment vertical="top" wrapText="1"/>
    </xf>
    <xf numFmtId="0" fontId="8" fillId="5" borderId="43" xfId="4" applyFont="1" applyFill="1" applyBorder="1" applyAlignment="1" applyProtection="1">
      <alignment horizontal="center" vertical="center" wrapText="1"/>
    </xf>
    <xf numFmtId="170" fontId="8" fillId="0" borderId="0" xfId="4" applyNumberFormat="1" applyFont="1" applyFill="1" applyBorder="1"/>
    <xf numFmtId="171" fontId="8" fillId="0" borderId="0" xfId="4" applyNumberFormat="1" applyFont="1" applyFill="1" applyBorder="1"/>
    <xf numFmtId="43" fontId="8" fillId="0" borderId="0" xfId="4" applyNumberFormat="1" applyFont="1" applyFill="1" applyBorder="1"/>
    <xf numFmtId="1" fontId="8" fillId="0" borderId="0" xfId="4" applyNumberFormat="1" applyFont="1" applyFill="1" applyBorder="1" applyAlignment="1" applyProtection="1">
      <alignment horizontal="center" vertical="center"/>
      <protection locked="0"/>
    </xf>
    <xf numFmtId="165" fontId="8" fillId="0" borderId="0" xfId="4" applyNumberFormat="1" applyFont="1" applyFill="1" applyBorder="1"/>
    <xf numFmtId="0" fontId="8" fillId="6" borderId="62" xfId="4" applyFont="1" applyFill="1" applyBorder="1" applyAlignment="1" applyProtection="1">
      <alignment horizontal="center" vertical="center" wrapText="1"/>
    </xf>
    <xf numFmtId="166" fontId="15" fillId="0" borderId="0" xfId="4" applyNumberFormat="1" applyFont="1" applyFill="1" applyBorder="1"/>
    <xf numFmtId="0" fontId="11" fillId="6" borderId="2" xfId="4" applyFont="1" applyFill="1" applyBorder="1" applyAlignment="1" applyProtection="1">
      <alignment vertical="center" wrapText="1"/>
      <protection locked="0"/>
    </xf>
    <xf numFmtId="0" fontId="12" fillId="6" borderId="2" xfId="4" applyFont="1" applyFill="1" applyBorder="1" applyAlignment="1">
      <alignment vertical="center" wrapText="1"/>
    </xf>
    <xf numFmtId="0" fontId="12" fillId="6" borderId="3" xfId="4" applyFont="1" applyFill="1" applyBorder="1" applyAlignment="1">
      <alignment vertical="center" wrapText="1"/>
    </xf>
    <xf numFmtId="0" fontId="8" fillId="6" borderId="30" xfId="4" applyFont="1" applyFill="1" applyBorder="1" applyAlignment="1" applyProtection="1">
      <alignment vertical="center" wrapText="1"/>
    </xf>
    <xf numFmtId="0" fontId="8" fillId="5" borderId="1" xfId="4" applyFont="1" applyFill="1" applyBorder="1" applyAlignment="1" applyProtection="1">
      <alignment horizontal="center" vertical="center" wrapText="1"/>
    </xf>
    <xf numFmtId="0" fontId="8" fillId="0" borderId="1" xfId="4" applyFont="1" applyFill="1" applyBorder="1" applyAlignment="1" applyProtection="1">
      <alignment horizontal="center" vertical="center" wrapText="1"/>
      <protection locked="0"/>
    </xf>
    <xf numFmtId="0" fontId="8" fillId="9" borderId="1" xfId="4" applyFont="1" applyFill="1" applyBorder="1" applyAlignment="1" applyProtection="1">
      <alignment horizontal="center" vertical="center" wrapText="1"/>
      <protection locked="0"/>
    </xf>
    <xf numFmtId="3" fontId="14" fillId="5" borderId="62" xfId="4" applyNumberFormat="1" applyFont="1" applyFill="1" applyBorder="1" applyAlignment="1">
      <alignment horizontal="center" vertical="center" wrapText="1"/>
    </xf>
    <xf numFmtId="0" fontId="12" fillId="7" borderId="2" xfId="4" applyFont="1" applyFill="1" applyBorder="1" applyAlignment="1">
      <alignment vertical="center" wrapText="1"/>
    </xf>
    <xf numFmtId="0" fontId="12" fillId="7" borderId="3" xfId="4" applyFont="1" applyFill="1" applyBorder="1" applyAlignment="1">
      <alignment vertical="center" wrapText="1"/>
    </xf>
    <xf numFmtId="0" fontId="8" fillId="5" borderId="44" xfId="4" applyFont="1" applyFill="1" applyBorder="1" applyAlignment="1" applyProtection="1">
      <alignment horizontal="center" vertical="center" wrapText="1"/>
    </xf>
    <xf numFmtId="3" fontId="17" fillId="5" borderId="14" xfId="4" applyNumberFormat="1" applyFont="1" applyFill="1" applyBorder="1" applyProtection="1"/>
    <xf numFmtId="166" fontId="0" fillId="0" borderId="0" xfId="0" applyNumberFormat="1"/>
    <xf numFmtId="0" fontId="0" fillId="0" borderId="0" xfId="0" applyBorder="1" applyAlignment="1">
      <alignment horizontal="center" vertical="center" wrapText="1"/>
    </xf>
    <xf numFmtId="0" fontId="5" fillId="0" borderId="0" xfId="0" applyFont="1" applyBorder="1" applyAlignment="1">
      <alignment vertical="center" wrapText="1"/>
    </xf>
    <xf numFmtId="0" fontId="6" fillId="0" borderId="0" xfId="0" applyFont="1" applyFill="1" applyBorder="1" applyAlignment="1">
      <alignment horizontal="center" vertical="center"/>
    </xf>
    <xf numFmtId="0" fontId="0" fillId="32" borderId="72" xfId="0" applyFill="1" applyBorder="1"/>
    <xf numFmtId="0" fontId="0" fillId="32" borderId="73" xfId="0" applyFill="1" applyBorder="1"/>
    <xf numFmtId="0" fontId="0" fillId="32" borderId="74" xfId="0" applyFill="1" applyBorder="1"/>
    <xf numFmtId="0" fontId="0" fillId="32" borderId="75" xfId="0" applyFill="1" applyBorder="1"/>
    <xf numFmtId="0" fontId="0" fillId="32" borderId="0" xfId="0" applyFill="1" applyBorder="1"/>
    <xf numFmtId="0" fontId="0" fillId="32" borderId="76" xfId="0" applyFill="1" applyBorder="1"/>
    <xf numFmtId="0" fontId="0" fillId="32" borderId="75" xfId="0" applyFill="1" applyBorder="1" applyAlignment="1">
      <alignment vertical="center" wrapText="1"/>
    </xf>
    <xf numFmtId="0" fontId="0" fillId="32" borderId="0" xfId="0" applyFill="1" applyBorder="1" applyAlignment="1">
      <alignment vertical="center" wrapText="1"/>
    </xf>
    <xf numFmtId="0" fontId="0" fillId="32" borderId="76" xfId="0" applyFill="1" applyBorder="1" applyAlignment="1">
      <alignment vertical="center" wrapText="1"/>
    </xf>
    <xf numFmtId="0" fontId="0" fillId="32" borderId="77" xfId="0" applyFill="1" applyBorder="1" applyAlignment="1">
      <alignment vertical="center" wrapText="1"/>
    </xf>
    <xf numFmtId="0" fontId="0" fillId="32" borderId="78" xfId="0" applyFill="1" applyBorder="1" applyAlignment="1">
      <alignment vertical="center" wrapText="1"/>
    </xf>
    <xf numFmtId="0" fontId="0" fillId="32" borderId="79" xfId="0" applyFill="1" applyBorder="1" applyAlignment="1">
      <alignment vertical="center" wrapText="1"/>
    </xf>
    <xf numFmtId="0" fontId="0" fillId="0" borderId="0" xfId="0" applyFill="1"/>
    <xf numFmtId="0" fontId="0" fillId="0" borderId="0" xfId="0" applyFill="1" applyAlignment="1">
      <alignment vertical="center" wrapText="1"/>
    </xf>
    <xf numFmtId="166" fontId="0" fillId="0" borderId="0" xfId="1" applyNumberFormat="1" applyFont="1"/>
    <xf numFmtId="0" fontId="0" fillId="0" borderId="0" xfId="0"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28" xfId="0" applyBorder="1" applyAlignment="1">
      <alignment vertical="center" wrapText="1"/>
    </xf>
    <xf numFmtId="44" fontId="0" fillId="0" borderId="8" xfId="2" applyNumberFormat="1" applyFont="1" applyBorder="1" applyAlignment="1" applyProtection="1">
      <alignment vertical="center" wrapText="1"/>
      <protection locked="0"/>
    </xf>
    <xf numFmtId="44" fontId="0" fillId="4" borderId="8" xfId="2" applyNumberFormat="1" applyFont="1" applyFill="1" applyBorder="1" applyAlignment="1">
      <alignment vertical="center" wrapText="1"/>
    </xf>
    <xf numFmtId="0" fontId="0" fillId="0" borderId="80"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43" fontId="0" fillId="0" borderId="0" xfId="0" applyNumberFormat="1" applyAlignment="1">
      <alignment vertical="center" wrapText="1"/>
    </xf>
    <xf numFmtId="9" fontId="0" fillId="0" borderId="0" xfId="3" applyFont="1"/>
    <xf numFmtId="0" fontId="0" fillId="0" borderId="0" xfId="0"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14" fillId="0" borderId="0" xfId="0" applyFont="1" applyFill="1"/>
    <xf numFmtId="0" fontId="0" fillId="0" borderId="0" xfId="0" applyAlignment="1">
      <alignment vertical="center"/>
    </xf>
    <xf numFmtId="0" fontId="0" fillId="0" borderId="8" xfId="0" applyBorder="1" applyAlignment="1">
      <alignment vertical="center" wrapText="1"/>
    </xf>
    <xf numFmtId="0" fontId="0" fillId="0" borderId="0" xfId="0" applyAlignment="1">
      <alignment vertical="center" wrapText="1"/>
    </xf>
    <xf numFmtId="170" fontId="0" fillId="0" borderId="0" xfId="0" applyNumberFormat="1" applyAlignment="1">
      <alignment vertical="center" wrapText="1"/>
    </xf>
    <xf numFmtId="0" fontId="0" fillId="33" borderId="0" xfId="0" applyFill="1" applyAlignment="1">
      <alignment vertical="center" wrapText="1"/>
    </xf>
    <xf numFmtId="4" fontId="0" fillId="0" borderId="0" xfId="0" applyNumberFormat="1" applyAlignment="1">
      <alignment horizontal="center" vertical="center" wrapText="1"/>
    </xf>
    <xf numFmtId="175" fontId="0" fillId="0" borderId="0" xfId="1" applyNumberFormat="1" applyFont="1" applyAlignment="1">
      <alignment horizontal="center"/>
    </xf>
    <xf numFmtId="175" fontId="0" fillId="0" borderId="0" xfId="1" applyNumberFormat="1" applyFont="1"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xf>
    <xf numFmtId="164" fontId="0" fillId="0" borderId="0" xfId="0" applyNumberFormat="1" applyAlignment="1">
      <alignment horizontal="center" vertical="center" wrapText="1"/>
    </xf>
    <xf numFmtId="4" fontId="0" fillId="0" borderId="0" xfId="0" applyNumberFormat="1" applyAlignment="1">
      <alignment horizontal="center"/>
    </xf>
    <xf numFmtId="0" fontId="44" fillId="0" borderId="0" xfId="54" applyAlignment="1">
      <alignment vertical="center" wrapText="1"/>
    </xf>
    <xf numFmtId="0" fontId="42" fillId="0" borderId="0" xfId="0" applyFont="1" applyAlignment="1">
      <alignment vertical="center" wrapText="1"/>
    </xf>
    <xf numFmtId="0" fontId="0" fillId="0" borderId="0" xfId="0"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7" fillId="0" borderId="85" xfId="0" applyFont="1" applyFill="1" applyBorder="1" applyAlignment="1" applyProtection="1">
      <alignment horizontal="left" vertical="center" wrapText="1"/>
      <protection hidden="1"/>
    </xf>
    <xf numFmtId="0" fontId="7" fillId="0" borderId="86" xfId="0" applyFont="1" applyFill="1" applyBorder="1" applyAlignment="1" applyProtection="1">
      <alignment horizontal="center" vertical="center" wrapText="1"/>
      <protection locked="0"/>
    </xf>
    <xf numFmtId="0" fontId="7" fillId="0" borderId="86" xfId="0" applyFont="1" applyFill="1" applyBorder="1" applyAlignment="1" applyProtection="1">
      <alignment horizontal="center" vertical="center" wrapText="1"/>
    </xf>
    <xf numFmtId="0" fontId="0" fillId="0" borderId="85" xfId="0" applyBorder="1" applyAlignment="1">
      <alignment vertical="center" wrapText="1"/>
    </xf>
    <xf numFmtId="0" fontId="7" fillId="0" borderId="88" xfId="0" applyFont="1" applyFill="1" applyBorder="1" applyAlignment="1" applyProtection="1">
      <alignment horizontal="left" vertical="center" wrapText="1"/>
      <protection hidden="1"/>
    </xf>
    <xf numFmtId="0" fontId="3" fillId="0" borderId="0" xfId="0" applyFont="1"/>
    <xf numFmtId="0" fontId="0" fillId="0" borderId="8" xfId="0" applyBorder="1" applyAlignment="1">
      <alignment vertical="center" wrapText="1"/>
    </xf>
    <xf numFmtId="0" fontId="0" fillId="0" borderId="0" xfId="0" applyAlignment="1">
      <alignment vertical="center" wrapText="1"/>
    </xf>
    <xf numFmtId="0" fontId="7" fillId="3" borderId="10" xfId="0" applyFont="1" applyFill="1" applyBorder="1" applyAlignment="1" applyProtection="1">
      <alignment horizontal="left" vertical="center" wrapText="1"/>
      <protection hidden="1"/>
    </xf>
    <xf numFmtId="44" fontId="7" fillId="3" borderId="11" xfId="2" applyFont="1" applyFill="1" applyBorder="1" applyAlignment="1" applyProtection="1">
      <alignment horizontal="center" vertical="center" wrapText="1"/>
      <protection locked="0"/>
    </xf>
    <xf numFmtId="0" fontId="45" fillId="0" borderId="56" xfId="0" applyFont="1" applyFill="1" applyBorder="1" applyAlignment="1" applyProtection="1">
      <alignment horizontal="left" vertical="center" wrapText="1"/>
      <protection hidden="1"/>
    </xf>
    <xf numFmtId="44" fontId="3" fillId="4" borderId="14" xfId="0" applyNumberFormat="1" applyFont="1" applyFill="1" applyBorder="1" applyAlignment="1">
      <alignment vertical="center" wrapText="1"/>
    </xf>
    <xf numFmtId="0" fontId="0" fillId="0" borderId="0" xfId="0" applyAlignment="1">
      <alignment horizontal="left" vertical="center" indent="1"/>
    </xf>
    <xf numFmtId="0" fontId="42" fillId="0" borderId="0" xfId="0" applyFont="1" applyAlignment="1">
      <alignment horizontal="left" vertical="center" indent="1"/>
    </xf>
    <xf numFmtId="0" fontId="3" fillId="0" borderId="0" xfId="0" applyFont="1" applyAlignment="1">
      <alignment horizontal="left" vertical="center" indent="1"/>
    </xf>
    <xf numFmtId="0" fontId="0" fillId="0" borderId="95"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44" fillId="0" borderId="7" xfId="54" applyBorder="1" applyAlignment="1">
      <alignment vertical="center" wrapText="1"/>
    </xf>
    <xf numFmtId="43" fontId="3" fillId="0" borderId="0" xfId="0" applyNumberFormat="1" applyFont="1"/>
    <xf numFmtId="0" fontId="0" fillId="0" borderId="8"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164" fontId="0" fillId="0" borderId="8" xfId="0" applyNumberFormat="1" applyBorder="1" applyAlignment="1" applyProtection="1">
      <alignment horizontal="center" vertical="center" wrapText="1"/>
      <protection locked="0"/>
    </xf>
    <xf numFmtId="0" fontId="0" fillId="0" borderId="5"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98" xfId="0" applyBorder="1" applyAlignment="1">
      <alignment vertical="center" wrapText="1"/>
    </xf>
    <xf numFmtId="0" fontId="0" fillId="0" borderId="13" xfId="0" applyBorder="1" applyAlignment="1">
      <alignment vertical="center" wrapText="1"/>
    </xf>
    <xf numFmtId="0" fontId="0" fillId="0" borderId="13" xfId="0" applyBorder="1" applyAlignment="1">
      <alignment vertical="center" wrapText="1"/>
    </xf>
    <xf numFmtId="0" fontId="0" fillId="0" borderId="0" xfId="0" applyBorder="1" applyAlignment="1" applyProtection="1">
      <alignment horizontal="center" vertical="center" wrapText="1"/>
      <protection locked="0"/>
    </xf>
    <xf numFmtId="171" fontId="0" fillId="36" borderId="19" xfId="1" applyNumberFormat="1" applyFont="1" applyFill="1" applyBorder="1" applyAlignment="1" applyProtection="1">
      <alignment horizontal="center" vertical="center" wrapText="1"/>
      <protection locked="0"/>
    </xf>
    <xf numFmtId="0" fontId="50" fillId="0" borderId="0" xfId="0" applyFont="1" applyFill="1"/>
    <xf numFmtId="0" fontId="35" fillId="0" borderId="0" xfId="0" applyFont="1" applyFill="1"/>
    <xf numFmtId="0" fontId="35" fillId="0" borderId="0" xfId="0" applyFont="1"/>
    <xf numFmtId="43" fontId="35" fillId="0" borderId="0" xfId="0" applyNumberFormat="1" applyFont="1"/>
    <xf numFmtId="0" fontId="7" fillId="0" borderId="0" xfId="0" applyFont="1" applyFill="1" applyBorder="1" applyAlignment="1">
      <alignment vertical="center" wrapText="1"/>
    </xf>
    <xf numFmtId="0" fontId="7" fillId="0" borderId="0" xfId="0" applyFont="1" applyFill="1" applyBorder="1" applyAlignment="1" applyProtection="1">
      <alignment horizontal="center" vertical="center" wrapText="1"/>
    </xf>
    <xf numFmtId="0" fontId="52" fillId="0" borderId="103" xfId="0" applyFont="1" applyFill="1" applyBorder="1" applyAlignment="1">
      <alignment horizontal="left" indent="1"/>
    </xf>
    <xf numFmtId="0" fontId="52" fillId="0" borderId="104" xfId="0" applyFont="1" applyFill="1" applyBorder="1" applyAlignment="1">
      <alignment horizontal="left" indent="1"/>
    </xf>
    <xf numFmtId="0" fontId="7" fillId="0" borderId="104" xfId="0" applyFont="1" applyFill="1" applyBorder="1"/>
    <xf numFmtId="0" fontId="7" fillId="0" borderId="105" xfId="0" applyFont="1" applyFill="1" applyBorder="1"/>
    <xf numFmtId="0" fontId="7" fillId="0" borderId="106" xfId="0" applyFont="1" applyFill="1" applyBorder="1"/>
    <xf numFmtId="0" fontId="7" fillId="0" borderId="107" xfId="0" applyFont="1" applyFill="1" applyBorder="1"/>
    <xf numFmtId="166" fontId="7" fillId="0" borderId="107" xfId="5" applyNumberFormat="1" applyFont="1" applyFill="1" applyBorder="1"/>
    <xf numFmtId="166" fontId="7" fillId="0" borderId="108" xfId="5" applyNumberFormat="1" applyFont="1" applyFill="1" applyBorder="1"/>
    <xf numFmtId="0" fontId="45" fillId="0" borderId="106" xfId="0" applyFont="1" applyFill="1" applyBorder="1"/>
    <xf numFmtId="0" fontId="45" fillId="0" borderId="107" xfId="0" applyFont="1" applyFill="1" applyBorder="1"/>
    <xf numFmtId="0" fontId="52" fillId="0" borderId="109" xfId="0" applyFont="1" applyFill="1" applyBorder="1" applyAlignment="1">
      <alignment horizontal="left" indent="1"/>
    </xf>
    <xf numFmtId="0" fontId="7" fillId="0" borderId="110" xfId="0" applyFont="1" applyFill="1" applyBorder="1"/>
    <xf numFmtId="166" fontId="52" fillId="0" borderId="110" xfId="5" applyNumberFormat="1" applyFont="1" applyFill="1" applyBorder="1"/>
    <xf numFmtId="166" fontId="52" fillId="0" borderId="111" xfId="5" applyNumberFormat="1" applyFont="1" applyFill="1" applyBorder="1"/>
    <xf numFmtId="0" fontId="7" fillId="0" borderId="0" xfId="0" applyFont="1" applyFill="1"/>
    <xf numFmtId="0" fontId="52" fillId="0" borderId="101" xfId="0" applyFont="1" applyFill="1" applyBorder="1" applyAlignment="1">
      <alignment horizontal="left" indent="1"/>
    </xf>
    <xf numFmtId="0" fontId="52" fillId="0" borderId="59" xfId="0" applyFont="1" applyFill="1" applyBorder="1" applyAlignment="1">
      <alignment horizontal="left" indent="1"/>
    </xf>
    <xf numFmtId="166" fontId="52" fillId="0" borderId="102" xfId="5" applyNumberFormat="1" applyFont="1" applyFill="1" applyBorder="1"/>
    <xf numFmtId="166" fontId="52" fillId="0" borderId="104" xfId="5" applyNumberFormat="1" applyFont="1" applyFill="1" applyBorder="1"/>
    <xf numFmtId="166" fontId="52" fillId="0" borderId="105" xfId="5" applyNumberFormat="1" applyFont="1" applyFill="1" applyBorder="1"/>
    <xf numFmtId="0" fontId="52" fillId="0" borderId="106" xfId="0" applyFont="1" applyFill="1" applyBorder="1" applyAlignment="1">
      <alignment horizontal="left" indent="1"/>
    </xf>
    <xf numFmtId="0" fontId="52" fillId="0" borderId="107" xfId="0" applyFont="1" applyFill="1" applyBorder="1" applyAlignment="1">
      <alignment horizontal="left" indent="1"/>
    </xf>
    <xf numFmtId="0" fontId="52" fillId="0" borderId="110" xfId="0" applyFont="1" applyFill="1" applyBorder="1" applyAlignment="1">
      <alignment horizontal="left" indent="1"/>
    </xf>
    <xf numFmtId="43" fontId="52" fillId="0" borderId="110" xfId="5" applyNumberFormat="1" applyFont="1" applyFill="1" applyBorder="1"/>
    <xf numFmtId="43" fontId="52" fillId="0" borderId="111" xfId="5" applyNumberFormat="1" applyFont="1" applyFill="1" applyBorder="1"/>
    <xf numFmtId="0" fontId="52" fillId="0" borderId="0" xfId="0" applyFont="1" applyFill="1" applyBorder="1" applyAlignment="1">
      <alignment horizontal="left" indent="1"/>
    </xf>
    <xf numFmtId="166" fontId="52" fillId="0" borderId="0" xfId="5" applyNumberFormat="1" applyFont="1" applyFill="1" applyBorder="1"/>
    <xf numFmtId="0" fontId="51" fillId="0" borderId="0" xfId="0" applyFont="1"/>
    <xf numFmtId="9" fontId="51" fillId="0" borderId="0" xfId="3" applyFont="1"/>
    <xf numFmtId="166" fontId="51" fillId="0" borderId="0" xfId="1" applyNumberFormat="1" applyFont="1"/>
    <xf numFmtId="0" fontId="54" fillId="0" borderId="22" xfId="0" applyFont="1" applyFill="1" applyBorder="1" applyAlignment="1">
      <alignment horizontal="left" indent="1"/>
    </xf>
    <xf numFmtId="0" fontId="54" fillId="0" borderId="0" xfId="0" applyFont="1" applyFill="1" applyBorder="1" applyAlignment="1">
      <alignment horizontal="left" indent="1"/>
    </xf>
    <xf numFmtId="166" fontId="7" fillId="0" borderId="0" xfId="5" applyNumberFormat="1" applyFont="1" applyFill="1" applyBorder="1"/>
    <xf numFmtId="0" fontId="54" fillId="0" borderId="51" xfId="0" applyFont="1" applyFill="1" applyBorder="1" applyAlignment="1">
      <alignment horizontal="left" indent="1"/>
    </xf>
    <xf numFmtId="166" fontId="54" fillId="0" borderId="45" xfId="5" applyNumberFormat="1" applyFont="1" applyFill="1" applyBorder="1"/>
    <xf numFmtId="0" fontId="54" fillId="0" borderId="42" xfId="0" applyFont="1" applyFill="1" applyBorder="1" applyAlignment="1">
      <alignment horizontal="left" indent="1"/>
    </xf>
    <xf numFmtId="0" fontId="0" fillId="0" borderId="48" xfId="0" applyBorder="1" applyAlignment="1">
      <alignment vertical="center" wrapText="1"/>
    </xf>
    <xf numFmtId="0" fontId="0" fillId="0" borderId="62" xfId="0" applyBorder="1" applyAlignment="1">
      <alignment vertical="center" wrapText="1"/>
    </xf>
    <xf numFmtId="0" fontId="0" fillId="0" borderId="112" xfId="0" applyBorder="1" applyAlignment="1">
      <alignment vertical="center" wrapText="1"/>
    </xf>
    <xf numFmtId="0" fontId="0" fillId="0" borderId="114" xfId="0" applyBorder="1" applyAlignment="1">
      <alignment vertical="center" wrapText="1"/>
    </xf>
    <xf numFmtId="0" fontId="0" fillId="0" borderId="115" xfId="0" applyBorder="1" applyAlignment="1">
      <alignment vertical="center" wrapText="1"/>
    </xf>
    <xf numFmtId="164" fontId="0" fillId="0" borderId="80" xfId="0" applyNumberFormat="1" applyBorder="1" applyAlignment="1" applyProtection="1">
      <alignment horizontal="center" vertical="center" wrapText="1"/>
      <protection locked="0"/>
    </xf>
    <xf numFmtId="0" fontId="0" fillId="0" borderId="116" xfId="0" applyBorder="1" applyAlignment="1">
      <alignment vertical="center" wrapText="1"/>
    </xf>
    <xf numFmtId="0" fontId="0" fillId="0" borderId="117" xfId="0" applyBorder="1" applyAlignment="1">
      <alignment vertical="center" wrapText="1"/>
    </xf>
    <xf numFmtId="0" fontId="0" fillId="0" borderId="118" xfId="0" applyBorder="1" applyAlignment="1">
      <alignment vertical="center" wrapText="1"/>
    </xf>
    <xf numFmtId="176" fontId="0" fillId="4" borderId="5" xfId="0" applyNumberFormat="1" applyFill="1" applyBorder="1" applyAlignment="1">
      <alignment vertical="center" wrapText="1"/>
    </xf>
    <xf numFmtId="43" fontId="52" fillId="0" borderId="107" xfId="1" applyFont="1" applyFill="1" applyBorder="1"/>
    <xf numFmtId="43" fontId="52" fillId="0" borderId="108" xfId="1" applyFont="1" applyFill="1" applyBorder="1"/>
    <xf numFmtId="172" fontId="0" fillId="4" borderId="11" xfId="2" applyNumberFormat="1" applyFont="1" applyFill="1" applyBorder="1" applyAlignment="1">
      <alignment vertical="center" wrapText="1"/>
    </xf>
    <xf numFmtId="0" fontId="0" fillId="0" borderId="0" xfId="0" applyAlignment="1">
      <alignment horizontal="center" vertical="center"/>
    </xf>
    <xf numFmtId="164" fontId="0" fillId="3" borderId="8" xfId="0" applyNumberFormat="1" applyFill="1" applyBorder="1" applyAlignment="1" applyProtection="1">
      <alignment horizontal="center" vertical="center" wrapText="1"/>
      <protection locked="0"/>
    </xf>
    <xf numFmtId="0" fontId="0" fillId="3" borderId="28"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44" fontId="0" fillId="3" borderId="8" xfId="2" applyFont="1" applyFill="1" applyBorder="1" applyAlignment="1" applyProtection="1">
      <alignment vertical="center" wrapText="1"/>
      <protection locked="0"/>
    </xf>
    <xf numFmtId="10" fontId="0" fillId="3" borderId="8" xfId="3" applyNumberFormat="1" applyFont="1" applyFill="1" applyBorder="1" applyAlignment="1" applyProtection="1">
      <alignment vertical="center" wrapText="1"/>
      <protection locked="0"/>
    </xf>
    <xf numFmtId="167" fontId="0" fillId="3" borderId="8" xfId="2" applyNumberFormat="1" applyFont="1" applyFill="1" applyBorder="1" applyAlignment="1" applyProtection="1">
      <alignment vertical="center" wrapText="1"/>
      <protection locked="0"/>
    </xf>
    <xf numFmtId="166" fontId="0" fillId="3" borderId="8" xfId="1" applyNumberFormat="1" applyFont="1" applyFill="1" applyBorder="1" applyAlignment="1" applyProtection="1">
      <alignment vertical="center" wrapText="1"/>
      <protection locked="0"/>
    </xf>
    <xf numFmtId="0" fontId="0" fillId="0" borderId="0" xfId="0" applyAlignment="1">
      <alignment horizontal="center" vertical="center" wrapText="1"/>
    </xf>
    <xf numFmtId="0" fontId="57" fillId="37" borderId="123" xfId="0" applyFont="1" applyFill="1" applyBorder="1" applyAlignment="1">
      <alignment horizontal="center" vertical="center" wrapText="1"/>
    </xf>
    <xf numFmtId="0" fontId="57" fillId="37" borderId="124" xfId="0" applyFont="1" applyFill="1" applyBorder="1" applyAlignment="1">
      <alignment vertical="center" wrapText="1"/>
    </xf>
    <xf numFmtId="0" fontId="57" fillId="37" borderId="124" xfId="0" applyFont="1" applyFill="1" applyBorder="1" applyAlignment="1">
      <alignment horizontal="left" vertical="center" wrapText="1" indent="1"/>
    </xf>
    <xf numFmtId="0" fontId="57" fillId="37" borderId="48" xfId="0" applyFont="1" applyFill="1" applyBorder="1" applyAlignment="1">
      <alignment horizontal="center" vertical="center" wrapText="1"/>
    </xf>
    <xf numFmtId="0" fontId="57" fillId="37" borderId="36" xfId="0" applyFont="1" applyFill="1" applyBorder="1" applyAlignment="1">
      <alignment horizontal="left" vertical="center" wrapText="1" indent="1"/>
    </xf>
    <xf numFmtId="0" fontId="0" fillId="0" borderId="0" xfId="0" applyFill="1" applyBorder="1"/>
    <xf numFmtId="0" fontId="0" fillId="0" borderId="106" xfId="0" applyFill="1" applyBorder="1" applyAlignment="1">
      <alignment vertical="center" wrapText="1"/>
    </xf>
    <xf numFmtId="0" fontId="0" fillId="0" borderId="107" xfId="0" applyFill="1" applyBorder="1" applyAlignment="1">
      <alignment vertical="center" wrapText="1"/>
    </xf>
    <xf numFmtId="0" fontId="3" fillId="0" borderId="106" xfId="0" applyFont="1" applyFill="1" applyBorder="1" applyAlignment="1">
      <alignment vertical="center" wrapText="1"/>
    </xf>
    <xf numFmtId="0" fontId="3" fillId="0" borderId="107" xfId="0" applyFont="1" applyFill="1" applyBorder="1" applyAlignment="1">
      <alignment vertical="center" wrapText="1"/>
    </xf>
    <xf numFmtId="0" fontId="0" fillId="0" borderId="109" xfId="0" applyFill="1" applyBorder="1" applyAlignment="1">
      <alignment vertical="center" wrapText="1"/>
    </xf>
    <xf numFmtId="0" fontId="0" fillId="0" borderId="110" xfId="0" applyFill="1" applyBorder="1" applyAlignment="1">
      <alignment vertical="center" wrapText="1"/>
    </xf>
    <xf numFmtId="43" fontId="0" fillId="0" borderId="0" xfId="0" applyNumberFormat="1" applyFill="1" applyAlignment="1">
      <alignment vertical="center" wrapText="1"/>
    </xf>
    <xf numFmtId="9" fontId="0" fillId="0" borderId="0" xfId="3" applyFont="1" applyFill="1" applyAlignment="1">
      <alignment vertical="center" wrapText="1"/>
    </xf>
    <xf numFmtId="2" fontId="0" fillId="0" borderId="0" xfId="0" applyNumberFormat="1" applyFill="1" applyAlignment="1">
      <alignment vertical="center" wrapText="1"/>
    </xf>
    <xf numFmtId="0" fontId="40" fillId="0" borderId="4" xfId="0" applyFont="1" applyFill="1" applyBorder="1" applyAlignment="1">
      <alignment vertical="center" wrapText="1"/>
    </xf>
    <xf numFmtId="0" fontId="0" fillId="0" borderId="5"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3" fontId="0" fillId="0" borderId="8" xfId="0" applyNumberFormat="1" applyFill="1" applyBorder="1" applyAlignment="1">
      <alignment vertical="center" wrapText="1"/>
    </xf>
    <xf numFmtId="166" fontId="0" fillId="0" borderId="8" xfId="1" applyNumberFormat="1"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3" fontId="3" fillId="0" borderId="8" xfId="0" applyNumberFormat="1" applyFont="1" applyFill="1" applyBorder="1" applyAlignment="1">
      <alignment vertical="center" wrapText="1"/>
    </xf>
    <xf numFmtId="43" fontId="0" fillId="0" borderId="8" xfId="1" applyFont="1" applyFill="1" applyBorder="1" applyAlignment="1">
      <alignment vertical="center" wrapText="1"/>
    </xf>
    <xf numFmtId="9" fontId="0" fillId="0" borderId="8" xfId="3" applyFont="1" applyFill="1" applyBorder="1" applyAlignment="1">
      <alignment vertical="center" wrapText="1"/>
    </xf>
    <xf numFmtId="166" fontId="3" fillId="0" borderId="8" xfId="1"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43" fontId="3" fillId="0" borderId="11" xfId="0" applyNumberFormat="1" applyFont="1" applyFill="1" applyBorder="1" applyAlignment="1">
      <alignment vertical="center" wrapText="1"/>
    </xf>
    <xf numFmtId="43" fontId="3" fillId="0" borderId="0" xfId="0" applyNumberFormat="1" applyFont="1" applyFill="1" applyAlignment="1">
      <alignment vertical="center" wrapText="1"/>
    </xf>
    <xf numFmtId="165" fontId="0" fillId="0" borderId="0" xfId="3" applyNumberFormat="1" applyFont="1" applyFill="1" applyAlignment="1">
      <alignment vertical="center" wrapText="1"/>
    </xf>
    <xf numFmtId="0" fontId="0" fillId="0" borderId="0" xfId="0" applyFill="1" applyAlignment="1">
      <alignment vertical="center"/>
    </xf>
    <xf numFmtId="0" fontId="0" fillId="0" borderId="125" xfId="0" applyBorder="1" applyAlignment="1">
      <alignment vertical="center" wrapText="1"/>
    </xf>
    <xf numFmtId="0" fontId="0" fillId="0" borderId="127" xfId="0" applyBorder="1" applyAlignment="1">
      <alignment vertical="center" wrapText="1"/>
    </xf>
    <xf numFmtId="0" fontId="0" fillId="0" borderId="61" xfId="0" applyBorder="1" applyAlignment="1">
      <alignment vertical="center" wrapText="1"/>
    </xf>
    <xf numFmtId="0" fontId="3" fillId="0" borderId="98" xfId="0" applyFont="1" applyBorder="1" applyAlignment="1">
      <alignment vertical="center" wrapText="1"/>
    </xf>
    <xf numFmtId="1" fontId="7" fillId="3" borderId="86" xfId="0" applyNumberFormat="1" applyFont="1" applyFill="1" applyBorder="1" applyAlignment="1" applyProtection="1">
      <alignment horizontal="center" vertical="center" wrapText="1"/>
      <protection locked="0"/>
    </xf>
    <xf numFmtId="0" fontId="0" fillId="3" borderId="86" xfId="0" applyFill="1" applyBorder="1" applyAlignment="1">
      <alignment vertical="center" wrapText="1"/>
    </xf>
    <xf numFmtId="172" fontId="7" fillId="3" borderId="86" xfId="2" applyNumberFormat="1" applyFont="1" applyFill="1" applyBorder="1" applyAlignment="1" applyProtection="1">
      <alignment horizontal="center" vertical="center" wrapText="1"/>
      <protection locked="0"/>
    </xf>
    <xf numFmtId="44" fontId="0" fillId="3" borderId="86" xfId="2" applyFont="1" applyFill="1" applyBorder="1" applyAlignment="1">
      <alignment vertical="center" wrapText="1"/>
    </xf>
    <xf numFmtId="9" fontId="7" fillId="3" borderId="86" xfId="3" applyFont="1" applyFill="1" applyBorder="1" applyAlignment="1" applyProtection="1">
      <alignment horizontal="center" vertical="center" wrapText="1"/>
      <protection locked="0"/>
    </xf>
    <xf numFmtId="9" fontId="0" fillId="3" borderId="86" xfId="3" applyFont="1" applyFill="1" applyBorder="1" applyAlignment="1">
      <alignment vertical="center" wrapText="1"/>
    </xf>
    <xf numFmtId="0" fontId="0" fillId="0" borderId="0" xfId="0" applyAlignment="1">
      <alignment vertical="center" wrapText="1"/>
    </xf>
    <xf numFmtId="0" fontId="60" fillId="0" borderId="0" xfId="0" applyFont="1" applyAlignment="1">
      <alignment horizontal="center" vertical="center"/>
    </xf>
    <xf numFmtId="0" fontId="0" fillId="0" borderId="0" xfId="0" applyFill="1" applyBorder="1" applyAlignment="1">
      <alignment vertical="center" wrapText="1"/>
    </xf>
    <xf numFmtId="0" fontId="63" fillId="0" borderId="98" xfId="0" applyFont="1" applyBorder="1" applyAlignment="1">
      <alignment vertical="center" wrapText="1"/>
    </xf>
    <xf numFmtId="0" fontId="63" fillId="0" borderId="14" xfId="0" applyFont="1" applyBorder="1" applyAlignment="1">
      <alignment vertical="center" wrapText="1"/>
    </xf>
    <xf numFmtId="0" fontId="0" fillId="0" borderId="0" xfId="0" applyAlignment="1">
      <alignment vertical="center" wrapText="1"/>
    </xf>
    <xf numFmtId="44" fontId="0" fillId="4" borderId="28" xfId="0" applyNumberFormat="1" applyFill="1" applyBorder="1" applyAlignment="1">
      <alignment vertical="center" wrapText="1"/>
    </xf>
    <xf numFmtId="0" fontId="0" fillId="0" borderId="119" xfId="0" applyBorder="1" applyAlignment="1">
      <alignment horizontal="center" vertical="center" wrapText="1"/>
    </xf>
    <xf numFmtId="0" fontId="5" fillId="0" borderId="0" xfId="0" applyFont="1" applyFill="1" applyBorder="1" applyAlignment="1">
      <alignment vertical="center" wrapText="1"/>
    </xf>
    <xf numFmtId="39" fontId="5" fillId="0" borderId="0" xfId="1" applyNumberFormat="1" applyFont="1" applyFill="1" applyBorder="1" applyAlignment="1">
      <alignment horizontal="center" vertical="center" wrapText="1"/>
    </xf>
    <xf numFmtId="0" fontId="5" fillId="0" borderId="22" xfId="0" applyFont="1" applyFill="1" applyBorder="1" applyAlignment="1">
      <alignment vertical="center" wrapText="1"/>
    </xf>
    <xf numFmtId="0" fontId="64" fillId="37" borderId="98" xfId="0" applyFont="1" applyFill="1" applyBorder="1" applyAlignment="1">
      <alignment wrapText="1"/>
    </xf>
    <xf numFmtId="0" fontId="64" fillId="37" borderId="13" xfId="0" applyFont="1" applyFill="1" applyBorder="1" applyAlignment="1">
      <alignment wrapText="1"/>
    </xf>
    <xf numFmtId="37" fontId="64" fillId="37" borderId="13" xfId="1" applyNumberFormat="1" applyFont="1" applyFill="1" applyBorder="1" applyAlignment="1">
      <alignment horizontal="center" wrapText="1"/>
    </xf>
    <xf numFmtId="0" fontId="3" fillId="0" borderId="0" xfId="0" applyFont="1" applyAlignment="1">
      <alignment vertical="center" wrapText="1"/>
    </xf>
    <xf numFmtId="0" fontId="0" fillId="37" borderId="0" xfId="0" applyFill="1" applyAlignment="1" applyProtection="1">
      <alignment horizontal="center"/>
      <protection hidden="1"/>
    </xf>
    <xf numFmtId="0" fontId="0" fillId="37" borderId="0" xfId="0" applyFill="1" applyBorder="1" applyProtection="1">
      <protection hidden="1"/>
    </xf>
    <xf numFmtId="3" fontId="0" fillId="37" borderId="0" xfId="0" applyNumberFormat="1" applyFill="1" applyAlignment="1" applyProtection="1">
      <alignment horizontal="center"/>
      <protection hidden="1"/>
    </xf>
    <xf numFmtId="0" fontId="0" fillId="37" borderId="0" xfId="0" applyFill="1" applyProtection="1">
      <protection hidden="1"/>
    </xf>
    <xf numFmtId="0" fontId="0" fillId="37" borderId="0" xfId="0" applyFill="1" applyAlignment="1" applyProtection="1">
      <protection hidden="1"/>
    </xf>
    <xf numFmtId="0" fontId="0" fillId="37" borderId="0" xfId="0" applyFill="1" applyBorder="1" applyAlignment="1" applyProtection="1">
      <alignment horizontal="center"/>
      <protection hidden="1"/>
    </xf>
    <xf numFmtId="3" fontId="67" fillId="37" borderId="0" xfId="0" applyNumberFormat="1" applyFont="1" applyFill="1" applyBorder="1" applyAlignment="1" applyProtection="1">
      <alignment horizontal="center" vertical="center" wrapText="1"/>
      <protection hidden="1"/>
    </xf>
    <xf numFmtId="0" fontId="7" fillId="37" borderId="0" xfId="0" applyFont="1" applyFill="1" applyProtection="1">
      <protection hidden="1"/>
    </xf>
    <xf numFmtId="0" fontId="0" fillId="37" borderId="0" xfId="0" applyFill="1" applyAlignment="1" applyProtection="1">
      <alignment vertical="center"/>
      <protection hidden="1"/>
    </xf>
    <xf numFmtId="49" fontId="0" fillId="37" borderId="0" xfId="0" applyNumberFormat="1" applyFill="1" applyAlignment="1" applyProtection="1">
      <protection hidden="1"/>
    </xf>
    <xf numFmtId="0" fontId="0" fillId="37" borderId="0" xfId="0" applyFill="1" applyAlignment="1" applyProtection="1">
      <alignment wrapText="1"/>
      <protection hidden="1"/>
    </xf>
    <xf numFmtId="0" fontId="0" fillId="37" borderId="0" xfId="0" applyFill="1" applyAlignment="1" applyProtection="1">
      <alignment horizontal="left" wrapText="1"/>
      <protection hidden="1"/>
    </xf>
    <xf numFmtId="0" fontId="69" fillId="37" borderId="0" xfId="0" applyFont="1" applyFill="1" applyAlignment="1" applyProtection="1">
      <protection hidden="1"/>
    </xf>
    <xf numFmtId="0" fontId="69" fillId="37" borderId="0" xfId="0" applyFont="1" applyFill="1" applyProtection="1">
      <protection hidden="1"/>
    </xf>
    <xf numFmtId="0" fontId="16" fillId="37" borderId="0" xfId="0" applyFont="1" applyFill="1" applyAlignment="1" applyProtection="1">
      <alignment horizontal="left"/>
      <protection hidden="1"/>
    </xf>
    <xf numFmtId="0" fontId="0" fillId="37" borderId="0" xfId="0" applyFill="1" applyAlignment="1" applyProtection="1">
      <alignment vertical="center" wrapText="1"/>
      <protection hidden="1"/>
    </xf>
    <xf numFmtId="0" fontId="0" fillId="37" borderId="0" xfId="0" applyFill="1" applyBorder="1" applyAlignment="1" applyProtection="1">
      <alignment vertical="center" wrapText="1"/>
      <protection hidden="1"/>
    </xf>
    <xf numFmtId="0" fontId="67" fillId="37" borderId="0" xfId="0" applyFont="1" applyFill="1" applyBorder="1" applyAlignment="1" applyProtection="1">
      <alignment horizontal="left" vertical="center" wrapText="1" indent="1"/>
      <protection hidden="1"/>
    </xf>
    <xf numFmtId="0" fontId="0" fillId="37" borderId="0" xfId="0" applyFill="1" applyBorder="1" applyAlignment="1" applyProtection="1">
      <alignment horizontal="center" vertical="center" wrapText="1"/>
      <protection hidden="1"/>
    </xf>
    <xf numFmtId="3" fontId="0" fillId="37" borderId="0" xfId="0" applyNumberFormat="1" applyFill="1" applyBorder="1" applyAlignment="1" applyProtection="1">
      <alignment horizontal="center" vertical="center" wrapText="1"/>
      <protection hidden="1"/>
    </xf>
    <xf numFmtId="0" fontId="0" fillId="37" borderId="0" xfId="0" applyFill="1" applyBorder="1" applyAlignment="1" applyProtection="1">
      <alignment vertical="center"/>
      <protection hidden="1"/>
    </xf>
    <xf numFmtId="3" fontId="0" fillId="37" borderId="0" xfId="0" applyNumberFormat="1" applyFill="1" applyBorder="1" applyAlignment="1" applyProtection="1">
      <alignment horizontal="center"/>
      <protection hidden="1"/>
    </xf>
    <xf numFmtId="0" fontId="0" fillId="37" borderId="0" xfId="0" applyFill="1"/>
    <xf numFmtId="0" fontId="0" fillId="37" borderId="0" xfId="0" applyFill="1" applyAlignment="1">
      <alignment horizontal="center" vertical="center" wrapText="1"/>
    </xf>
    <xf numFmtId="0" fontId="0" fillId="37" borderId="0" xfId="0" applyFill="1" applyAlignment="1">
      <alignment vertical="center" wrapText="1"/>
    </xf>
    <xf numFmtId="0" fontId="0" fillId="37" borderId="0" xfId="0" applyFont="1" applyFill="1"/>
    <xf numFmtId="0" fontId="6" fillId="37" borderId="0" xfId="0" applyFont="1" applyFill="1" applyBorder="1" applyAlignment="1">
      <alignment horizontal="center" vertical="center"/>
    </xf>
    <xf numFmtId="0" fontId="0" fillId="37" borderId="0" xfId="0" applyFill="1" applyBorder="1" applyAlignment="1">
      <alignment horizontal="center" vertical="center"/>
    </xf>
    <xf numFmtId="0" fontId="6" fillId="37" borderId="35" xfId="0" applyFont="1" applyFill="1" applyBorder="1" applyAlignment="1">
      <alignment horizontal="center" vertical="center"/>
    </xf>
    <xf numFmtId="0" fontId="0" fillId="37" borderId="35" xfId="0" applyFill="1" applyBorder="1"/>
    <xf numFmtId="0" fontId="0" fillId="37" borderId="0" xfId="0" applyFill="1" applyBorder="1"/>
    <xf numFmtId="0" fontId="80" fillId="37" borderId="30" xfId="0" applyFont="1" applyFill="1" applyBorder="1" applyAlignment="1">
      <alignment horizontal="center" vertical="center" wrapText="1"/>
    </xf>
    <xf numFmtId="0" fontId="80" fillId="37" borderId="38" xfId="0" applyFont="1" applyFill="1" applyBorder="1" applyAlignment="1">
      <alignment horizontal="center" vertical="center" wrapText="1"/>
    </xf>
    <xf numFmtId="0" fontId="0" fillId="37" borderId="0" xfId="0" applyFill="1" applyAlignment="1">
      <alignment vertical="center" wrapText="1"/>
    </xf>
    <xf numFmtId="0" fontId="3" fillId="37" borderId="0" xfId="0" applyFont="1" applyFill="1" applyAlignment="1">
      <alignment vertical="center" wrapText="1"/>
    </xf>
    <xf numFmtId="0" fontId="61" fillId="37" borderId="0" xfId="0" applyFont="1" applyFill="1" applyAlignment="1">
      <alignment horizontal="center" vertical="center" readingOrder="1"/>
    </xf>
    <xf numFmtId="0" fontId="62" fillId="37" borderId="0" xfId="0" applyFont="1" applyFill="1" applyAlignment="1">
      <alignment horizontal="center" vertical="center" readingOrder="1"/>
    </xf>
    <xf numFmtId="0" fontId="0" fillId="37" borderId="0" xfId="0" applyFill="1" applyBorder="1" applyAlignment="1">
      <alignment vertical="center" wrapText="1"/>
    </xf>
    <xf numFmtId="0" fontId="5" fillId="37" borderId="0" xfId="0" applyFont="1" applyFill="1" applyBorder="1" applyAlignment="1">
      <alignment vertical="center" wrapText="1"/>
    </xf>
    <xf numFmtId="0" fontId="4" fillId="37" borderId="0" xfId="0" applyFont="1" applyFill="1" applyAlignment="1">
      <alignment vertical="center" wrapText="1"/>
    </xf>
    <xf numFmtId="0" fontId="0" fillId="37" borderId="0" xfId="0" applyFill="1" applyBorder="1" applyAlignment="1" applyProtection="1">
      <alignment horizontal="center" vertical="center" wrapText="1"/>
      <protection locked="0"/>
    </xf>
    <xf numFmtId="0" fontId="0" fillId="37" borderId="0"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112" xfId="0" applyFill="1" applyBorder="1" applyAlignment="1">
      <alignment vertical="center" wrapText="1"/>
    </xf>
    <xf numFmtId="0" fontId="0" fillId="37" borderId="114" xfId="0" applyFill="1" applyBorder="1" applyAlignment="1">
      <alignment vertical="center" wrapText="1"/>
    </xf>
    <xf numFmtId="0" fontId="0" fillId="37" borderId="115" xfId="0" applyFill="1" applyBorder="1" applyAlignment="1">
      <alignment vertical="center" wrapText="1"/>
    </xf>
    <xf numFmtId="0" fontId="3" fillId="37" borderId="0" xfId="0" applyFont="1" applyFill="1" applyBorder="1"/>
    <xf numFmtId="0" fontId="0" fillId="0" borderId="8" xfId="0" applyBorder="1" applyAlignment="1">
      <alignment vertical="center" wrapText="1"/>
    </xf>
    <xf numFmtId="0" fontId="0" fillId="0" borderId="28" xfId="0" applyBorder="1" applyAlignment="1">
      <alignment vertical="center" wrapText="1"/>
    </xf>
    <xf numFmtId="0" fontId="0" fillId="37" borderId="0" xfId="0" applyFill="1" applyAlignment="1">
      <alignment vertical="center" wrapText="1"/>
    </xf>
    <xf numFmtId="0" fontId="0" fillId="37" borderId="0" xfId="0" applyFill="1" applyBorder="1" applyAlignment="1">
      <alignment horizontal="center" vertical="center" wrapText="1"/>
    </xf>
    <xf numFmtId="173" fontId="0" fillId="37" borderId="0" xfId="0" applyNumberFormat="1" applyFill="1" applyBorder="1" applyAlignment="1">
      <alignment vertical="center" wrapText="1"/>
    </xf>
    <xf numFmtId="166" fontId="0" fillId="37" borderId="0" xfId="1" applyNumberFormat="1" applyFont="1" applyFill="1" applyAlignment="1">
      <alignment vertical="center" wrapText="1"/>
    </xf>
    <xf numFmtId="44" fontId="0" fillId="37" borderId="0" xfId="2" applyFont="1" applyFill="1" applyAlignment="1">
      <alignment vertical="center" wrapText="1"/>
    </xf>
    <xf numFmtId="44" fontId="0" fillId="37" borderId="0" xfId="0" applyNumberFormat="1" applyFill="1" applyAlignment="1">
      <alignment vertical="center" wrapText="1"/>
    </xf>
    <xf numFmtId="43" fontId="0" fillId="37" borderId="0" xfId="0" applyNumberFormat="1" applyFill="1" applyAlignment="1">
      <alignment vertical="center" wrapText="1"/>
    </xf>
    <xf numFmtId="0" fontId="0" fillId="37" borderId="3" xfId="0" applyFill="1" applyBorder="1" applyAlignment="1">
      <alignment vertical="center" wrapText="1"/>
    </xf>
    <xf numFmtId="166" fontId="0" fillId="37" borderId="3" xfId="1" applyNumberFormat="1" applyFont="1" applyFill="1" applyBorder="1" applyAlignment="1" applyProtection="1">
      <alignment horizontal="center" vertical="center" wrapText="1"/>
      <protection locked="0"/>
    </xf>
    <xf numFmtId="0" fontId="48" fillId="37" borderId="3" xfId="0" applyFont="1" applyFill="1" applyBorder="1" applyAlignment="1">
      <alignment vertical="center" wrapText="1"/>
    </xf>
    <xf numFmtId="0" fontId="49" fillId="37" borderId="3" xfId="54" applyFont="1" applyFill="1" applyBorder="1" applyAlignment="1" applyProtection="1">
      <alignment horizontal="center" vertical="center" wrapText="1"/>
      <protection locked="0"/>
    </xf>
    <xf numFmtId="0" fontId="0" fillId="37" borderId="3" xfId="0" applyFill="1" applyBorder="1" applyAlignment="1">
      <alignment vertical="center"/>
    </xf>
    <xf numFmtId="0" fontId="3" fillId="43" borderId="30" xfId="0" applyFont="1" applyFill="1" applyBorder="1" applyAlignment="1">
      <alignment vertical="center" wrapText="1"/>
    </xf>
    <xf numFmtId="0" fontId="3" fillId="43" borderId="31" xfId="0" applyFont="1" applyFill="1" applyBorder="1" applyAlignment="1">
      <alignment vertical="center" wrapText="1"/>
    </xf>
    <xf numFmtId="0" fontId="3" fillId="43" borderId="31" xfId="0" applyFont="1" applyFill="1" applyBorder="1" applyAlignment="1">
      <alignment horizontal="center" vertical="center" wrapText="1"/>
    </xf>
    <xf numFmtId="171" fontId="0" fillId="4" borderId="19" xfId="1" applyNumberFormat="1" applyFont="1" applyFill="1" applyBorder="1" applyAlignment="1" applyProtection="1">
      <alignment horizontal="center" vertical="center" wrapText="1"/>
      <protection locked="0"/>
    </xf>
    <xf numFmtId="171" fontId="0" fillId="4" borderId="20" xfId="1" applyNumberFormat="1" applyFont="1" applyFill="1" applyBorder="1" applyAlignment="1" applyProtection="1">
      <alignment horizontal="center" vertical="center" wrapText="1"/>
      <protection locked="0"/>
    </xf>
    <xf numFmtId="171" fontId="0" fillId="4" borderId="112" xfId="1" applyNumberFormat="1" applyFont="1" applyFill="1" applyBorder="1" applyAlignment="1" applyProtection="1">
      <alignment horizontal="center" vertical="center" wrapText="1"/>
      <protection locked="0"/>
    </xf>
    <xf numFmtId="171" fontId="0" fillId="4" borderId="113" xfId="1" applyNumberFormat="1" applyFont="1" applyFill="1" applyBorder="1" applyAlignment="1" applyProtection="1">
      <alignment horizontal="center" vertical="center" wrapText="1"/>
      <protection locked="0"/>
    </xf>
    <xf numFmtId="166" fontId="0" fillId="4" borderId="17" xfId="1" applyNumberFormat="1" applyFont="1" applyFill="1" applyBorder="1" applyAlignment="1" applyProtection="1">
      <alignment horizontal="center" vertical="center" wrapText="1"/>
      <protection locked="0"/>
    </xf>
    <xf numFmtId="166" fontId="0" fillId="4" borderId="18" xfId="1" applyNumberFormat="1" applyFont="1" applyFill="1" applyBorder="1" applyAlignment="1" applyProtection="1">
      <alignment horizontal="center" vertical="center" wrapText="1"/>
      <protection locked="0"/>
    </xf>
    <xf numFmtId="44" fontId="0" fillId="4" borderId="8" xfId="0" applyNumberFormat="1" applyFill="1" applyBorder="1" applyAlignment="1" applyProtection="1">
      <alignment vertical="center" wrapText="1"/>
      <protection locked="0"/>
    </xf>
    <xf numFmtId="166" fontId="0" fillId="4" borderId="8" xfId="0" applyNumberFormat="1" applyFill="1" applyBorder="1" applyAlignment="1" applyProtection="1">
      <alignment vertical="center" wrapText="1"/>
      <protection locked="0"/>
    </xf>
    <xf numFmtId="166" fontId="0" fillId="4" borderId="8" xfId="1" applyNumberFormat="1" applyFont="1" applyFill="1" applyBorder="1" applyAlignment="1" applyProtection="1">
      <alignment vertical="center" wrapText="1"/>
      <protection locked="0"/>
    </xf>
    <xf numFmtId="44" fontId="0" fillId="4" borderId="8" xfId="2" applyFont="1" applyFill="1" applyBorder="1" applyAlignment="1" applyProtection="1">
      <alignment vertical="center" wrapText="1"/>
      <protection locked="0"/>
    </xf>
    <xf numFmtId="167" fontId="0" fillId="4" borderId="8" xfId="2" applyNumberFormat="1" applyFont="1" applyFill="1" applyBorder="1" applyAlignment="1" applyProtection="1">
      <alignment vertical="center" wrapText="1"/>
      <protection locked="0"/>
    </xf>
    <xf numFmtId="172" fontId="0" fillId="4" borderId="8" xfId="2" applyNumberFormat="1" applyFont="1" applyFill="1" applyBorder="1" applyAlignment="1" applyProtection="1">
      <alignment vertical="center" wrapText="1"/>
      <protection locked="0"/>
    </xf>
    <xf numFmtId="44" fontId="0" fillId="4" borderId="8" xfId="2" applyNumberFormat="1" applyFont="1" applyFill="1" applyBorder="1" applyAlignment="1" applyProtection="1">
      <alignment vertical="center" wrapText="1"/>
      <protection locked="0"/>
    </xf>
    <xf numFmtId="174" fontId="0" fillId="4" borderId="8" xfId="2" applyNumberFormat="1" applyFont="1" applyFill="1" applyBorder="1" applyAlignment="1" applyProtection="1">
      <alignment vertical="center" wrapText="1"/>
      <protection locked="0"/>
    </xf>
    <xf numFmtId="0" fontId="44" fillId="37" borderId="0" xfId="54" applyFill="1"/>
    <xf numFmtId="0" fontId="72" fillId="37" borderId="0" xfId="0" applyFont="1" applyFill="1"/>
    <xf numFmtId="0" fontId="0" fillId="37" borderId="121" xfId="0" applyFill="1" applyBorder="1" applyAlignment="1">
      <alignment horizontal="center"/>
    </xf>
    <xf numFmtId="0" fontId="45" fillId="42" borderId="2" xfId="0" applyFont="1" applyFill="1" applyBorder="1" applyAlignment="1" applyProtection="1">
      <alignment vertical="center" wrapText="1"/>
    </xf>
    <xf numFmtId="0" fontId="0" fillId="37" borderId="0" xfId="0" applyFill="1" applyAlignment="1">
      <alignment vertical="center" wrapText="1"/>
    </xf>
    <xf numFmtId="0" fontId="0" fillId="0" borderId="0" xfId="0" applyAlignment="1">
      <alignment vertical="center" wrapText="1"/>
    </xf>
    <xf numFmtId="0" fontId="49" fillId="37" borderId="3" xfId="54" applyFont="1" applyFill="1" applyBorder="1" applyAlignment="1">
      <alignment horizontal="center" vertical="center" wrapText="1"/>
    </xf>
    <xf numFmtId="0" fontId="0" fillId="3" borderId="119" xfId="0" applyFill="1" applyBorder="1" applyAlignment="1">
      <alignment horizontal="center" vertical="center" wrapText="1"/>
    </xf>
    <xf numFmtId="0" fontId="0" fillId="35" borderId="119" xfId="0" applyFill="1" applyBorder="1" applyAlignment="1">
      <alignment horizontal="center" vertical="center" wrapText="1"/>
    </xf>
    <xf numFmtId="0" fontId="0" fillId="4" borderId="119" xfId="0" applyFill="1" applyBorder="1" applyAlignment="1">
      <alignment horizontal="center" vertical="center" wrapText="1"/>
    </xf>
    <xf numFmtId="0" fontId="0" fillId="37" borderId="119" xfId="0" applyFill="1" applyBorder="1" applyAlignment="1">
      <alignment vertical="center" wrapText="1"/>
    </xf>
    <xf numFmtId="0" fontId="3" fillId="37" borderId="0" xfId="0" applyFont="1" applyFill="1"/>
    <xf numFmtId="0" fontId="0" fillId="37" borderId="0" xfId="0" applyFill="1" applyAlignment="1">
      <alignment horizontal="left" vertical="center" indent="1"/>
    </xf>
    <xf numFmtId="0" fontId="3" fillId="37" borderId="0" xfId="0" applyFont="1" applyFill="1" applyBorder="1" applyAlignment="1">
      <alignment vertical="center" wrapText="1"/>
    </xf>
    <xf numFmtId="43" fontId="0" fillId="37" borderId="0" xfId="1" applyFont="1" applyFill="1" applyBorder="1" applyAlignment="1">
      <alignment vertical="center" wrapText="1"/>
    </xf>
    <xf numFmtId="0" fontId="42" fillId="37" borderId="0" xfId="0" applyFont="1" applyFill="1" applyAlignment="1">
      <alignment horizontal="left" vertical="center" indent="1"/>
    </xf>
    <xf numFmtId="0" fontId="46" fillId="37" borderId="0" xfId="0" applyFont="1" applyFill="1" applyAlignment="1">
      <alignment vertical="center"/>
    </xf>
    <xf numFmtId="0" fontId="55" fillId="37" borderId="0" xfId="0" applyFont="1" applyFill="1"/>
    <xf numFmtId="0" fontId="82" fillId="37" borderId="0" xfId="0" applyFont="1" applyFill="1" applyAlignment="1">
      <alignment vertical="center"/>
    </xf>
    <xf numFmtId="43" fontId="0" fillId="37" borderId="0" xfId="0" applyNumberFormat="1" applyFill="1" applyBorder="1" applyAlignment="1">
      <alignment vertical="center" wrapText="1"/>
    </xf>
    <xf numFmtId="0" fontId="0" fillId="0" borderId="152" xfId="0" applyBorder="1" applyAlignment="1">
      <alignment vertical="center" wrapText="1"/>
    </xf>
    <xf numFmtId="0" fontId="0" fillId="0" borderId="153" xfId="0" applyBorder="1" applyAlignment="1">
      <alignment vertical="center" wrapText="1"/>
    </xf>
    <xf numFmtId="0" fontId="3" fillId="0" borderId="153" xfId="0" applyFont="1" applyBorder="1" applyAlignment="1">
      <alignment vertical="center" wrapText="1"/>
    </xf>
    <xf numFmtId="0" fontId="3" fillId="0" borderId="154" xfId="0" applyFont="1" applyBorder="1" applyAlignment="1">
      <alignment vertical="center" wrapText="1"/>
    </xf>
    <xf numFmtId="0" fontId="0" fillId="0" borderId="155" xfId="0" applyBorder="1" applyAlignment="1">
      <alignment vertical="center" wrapText="1"/>
    </xf>
    <xf numFmtId="0" fontId="0" fillId="0" borderId="156" xfId="0" applyBorder="1" applyAlignment="1">
      <alignment vertical="center" wrapText="1"/>
    </xf>
    <xf numFmtId="0" fontId="0" fillId="0" borderId="157" xfId="0" applyBorder="1" applyAlignment="1">
      <alignment horizontal="left" vertical="center" wrapText="1"/>
    </xf>
    <xf numFmtId="0" fontId="0" fillId="0" borderId="159" xfId="0" applyBorder="1" applyAlignment="1">
      <alignment vertical="center" wrapText="1"/>
    </xf>
    <xf numFmtId="0" fontId="0" fillId="0" borderId="162" xfId="0" applyBorder="1" applyAlignment="1">
      <alignment vertical="center" wrapText="1"/>
    </xf>
    <xf numFmtId="0" fontId="0" fillId="0" borderId="161" xfId="0" applyBorder="1" applyAlignment="1">
      <alignment vertical="center" wrapText="1"/>
    </xf>
    <xf numFmtId="0" fontId="0" fillId="37" borderId="164" xfId="0" applyFill="1" applyBorder="1" applyAlignment="1">
      <alignment vertical="center" wrapText="1"/>
    </xf>
    <xf numFmtId="0" fontId="0" fillId="37" borderId="165" xfId="0" applyFill="1" applyBorder="1" applyAlignment="1">
      <alignment vertical="center" wrapText="1"/>
    </xf>
    <xf numFmtId="0" fontId="0" fillId="37" borderId="166" xfId="0" applyFill="1" applyBorder="1" applyAlignment="1">
      <alignment vertical="center" wrapText="1"/>
    </xf>
    <xf numFmtId="0" fontId="0" fillId="0" borderId="158" xfId="0" applyFont="1" applyBorder="1" applyAlignment="1">
      <alignment vertical="center" wrapText="1"/>
    </xf>
    <xf numFmtId="0" fontId="0" fillId="0" borderId="164" xfId="0" applyBorder="1" applyAlignment="1">
      <alignment vertical="center" wrapText="1"/>
    </xf>
    <xf numFmtId="0" fontId="0" fillId="0" borderId="165" xfId="0" applyBorder="1" applyAlignment="1">
      <alignment vertical="center" wrapText="1"/>
    </xf>
    <xf numFmtId="0" fontId="0" fillId="0" borderId="166" xfId="0" applyBorder="1" applyAlignment="1">
      <alignment vertical="center" wrapText="1"/>
    </xf>
    <xf numFmtId="0" fontId="0" fillId="0" borderId="168" xfId="0" applyBorder="1" applyAlignment="1">
      <alignment vertical="center" wrapText="1"/>
    </xf>
    <xf numFmtId="0" fontId="0" fillId="0" borderId="171" xfId="0" applyBorder="1" applyAlignment="1">
      <alignment vertical="center" wrapText="1"/>
    </xf>
    <xf numFmtId="0" fontId="0" fillId="0" borderId="172" xfId="0" applyBorder="1" applyAlignment="1">
      <alignment vertical="center" wrapText="1"/>
    </xf>
    <xf numFmtId="0" fontId="3" fillId="0" borderId="160" xfId="0" applyFont="1" applyBorder="1" applyAlignment="1">
      <alignment horizontal="center" vertical="center" wrapText="1"/>
    </xf>
    <xf numFmtId="0" fontId="3" fillId="0" borderId="159" xfId="0" applyFont="1" applyBorder="1" applyAlignment="1">
      <alignment horizontal="center" vertical="center" wrapText="1"/>
    </xf>
    <xf numFmtId="0" fontId="0" fillId="0" borderId="175" xfId="0" applyBorder="1" applyAlignment="1">
      <alignment vertical="center" wrapText="1"/>
    </xf>
    <xf numFmtId="0" fontId="0" fillId="0" borderId="176" xfId="0" applyBorder="1" applyAlignment="1">
      <alignment vertical="center" wrapText="1"/>
    </xf>
    <xf numFmtId="0" fontId="3" fillId="0" borderId="173" xfId="0" applyFont="1" applyBorder="1" applyAlignment="1">
      <alignment vertical="center" wrapText="1"/>
    </xf>
    <xf numFmtId="0" fontId="0" fillId="0" borderId="174" xfId="0" applyBorder="1" applyAlignment="1">
      <alignment vertical="center" wrapText="1"/>
    </xf>
    <xf numFmtId="0" fontId="3" fillId="0" borderId="169" xfId="0" applyFont="1" applyBorder="1" applyAlignment="1">
      <alignment horizontal="center" vertical="center" wrapText="1"/>
    </xf>
    <xf numFmtId="0" fontId="0" fillId="0" borderId="27" xfId="0" applyFont="1" applyBorder="1" applyAlignment="1">
      <alignment vertical="center" wrapText="1"/>
    </xf>
    <xf numFmtId="0" fontId="0" fillId="0" borderId="170" xfId="0" applyBorder="1" applyAlignment="1">
      <alignment horizontal="center" vertical="center" wrapText="1"/>
    </xf>
    <xf numFmtId="0" fontId="3" fillId="0" borderId="167" xfId="0" applyFont="1" applyBorder="1" applyAlignment="1">
      <alignment vertical="center" wrapText="1"/>
    </xf>
    <xf numFmtId="0" fontId="0" fillId="0" borderId="175" xfId="0" applyFont="1" applyBorder="1" applyAlignment="1">
      <alignment vertical="center" wrapText="1"/>
    </xf>
    <xf numFmtId="0" fontId="0" fillId="0" borderId="178" xfId="0" applyBorder="1" applyAlignment="1">
      <alignment vertical="center" wrapText="1"/>
    </xf>
    <xf numFmtId="0" fontId="3" fillId="0" borderId="168" xfId="0" applyFont="1" applyBorder="1" applyAlignment="1">
      <alignment horizontal="center"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19" xfId="0" applyBorder="1" applyAlignment="1">
      <alignment horizontal="center"/>
    </xf>
    <xf numFmtId="0" fontId="0" fillId="3" borderId="119" xfId="0" applyFill="1" applyBorder="1"/>
    <xf numFmtId="43" fontId="0" fillId="3" borderId="119" xfId="1" applyFont="1" applyFill="1" applyBorder="1"/>
    <xf numFmtId="0" fontId="0" fillId="37" borderId="121" xfId="0" applyFill="1" applyBorder="1"/>
    <xf numFmtId="0" fontId="0" fillId="0" borderId="182" xfId="0" applyBorder="1"/>
    <xf numFmtId="0" fontId="0" fillId="0" borderId="183" xfId="0" applyBorder="1"/>
    <xf numFmtId="0" fontId="3" fillId="0" borderId="183" xfId="0" applyFont="1" applyBorder="1" applyAlignment="1">
      <alignment horizontal="center"/>
    </xf>
    <xf numFmtId="0" fontId="3" fillId="0" borderId="184" xfId="0" applyFont="1" applyBorder="1" applyAlignment="1">
      <alignment horizontal="center"/>
    </xf>
    <xf numFmtId="0" fontId="0" fillId="0" borderId="125" xfId="0" applyBorder="1"/>
    <xf numFmtId="0" fontId="0" fillId="3" borderId="126" xfId="0" applyFill="1" applyBorder="1"/>
    <xf numFmtId="0" fontId="0" fillId="37" borderId="185" xfId="0" applyFill="1" applyBorder="1"/>
    <xf numFmtId="0" fontId="0" fillId="37" borderId="186" xfId="0" applyFill="1" applyBorder="1"/>
    <xf numFmtId="0" fontId="0" fillId="0" borderId="187" xfId="0" applyBorder="1"/>
    <xf numFmtId="0" fontId="0" fillId="0" borderId="188" xfId="0" applyBorder="1" applyAlignment="1">
      <alignment horizontal="center"/>
    </xf>
    <xf numFmtId="0" fontId="7" fillId="45" borderId="27" xfId="0" applyFont="1" applyFill="1" applyBorder="1" applyAlignment="1" applyProtection="1">
      <alignment horizontal="left" vertical="center" wrapText="1"/>
      <protection hidden="1"/>
    </xf>
    <xf numFmtId="0" fontId="3" fillId="37" borderId="98"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7" fillId="3" borderId="95" xfId="0" applyFont="1" applyFill="1" applyBorder="1" applyAlignment="1" applyProtection="1">
      <alignment horizontal="left" vertical="center" wrapText="1"/>
      <protection hidden="1"/>
    </xf>
    <xf numFmtId="44" fontId="7" fillId="3" borderId="80" xfId="2" applyFont="1" applyFill="1" applyBorder="1" applyAlignment="1" applyProtection="1">
      <alignment horizontal="center" vertical="center" wrapText="1"/>
      <protection locked="0"/>
    </xf>
    <xf numFmtId="0" fontId="7" fillId="45" borderId="189" xfId="0" applyFont="1" applyFill="1" applyBorder="1" applyAlignment="1" applyProtection="1">
      <alignment horizontal="left" vertical="center" wrapText="1"/>
      <protection hidden="1"/>
    </xf>
    <xf numFmtId="0" fontId="7" fillId="3" borderId="192" xfId="0" applyFont="1" applyFill="1" applyBorder="1" applyAlignment="1" applyProtection="1">
      <alignment horizontal="left" vertical="center" wrapText="1"/>
      <protection hidden="1"/>
    </xf>
    <xf numFmtId="44" fontId="7" fillId="3" borderId="193" xfId="2" applyFont="1" applyFill="1" applyBorder="1" applyAlignment="1" applyProtection="1">
      <alignment horizontal="center" vertical="center" wrapText="1"/>
      <protection locked="0"/>
    </xf>
    <xf numFmtId="0" fontId="55" fillId="0" borderId="0" xfId="0" applyFont="1" applyAlignment="1">
      <alignment vertical="center"/>
    </xf>
    <xf numFmtId="0" fontId="0" fillId="37" borderId="0" xfId="0" applyFill="1" applyBorder="1" applyAlignment="1">
      <alignment horizontal="left" vertical="center" wrapText="1" indent="2"/>
    </xf>
    <xf numFmtId="0" fontId="7" fillId="37" borderId="0" xfId="0" applyFont="1" applyFill="1" applyBorder="1" applyAlignment="1" applyProtection="1">
      <alignment horizontal="left" vertical="center" wrapText="1"/>
      <protection hidden="1"/>
    </xf>
    <xf numFmtId="44" fontId="7" fillId="37" borderId="0" xfId="2" applyFont="1" applyFill="1" applyBorder="1" applyAlignment="1" applyProtection="1">
      <alignment horizontal="center" vertical="center" wrapText="1"/>
      <protection locked="0"/>
    </xf>
    <xf numFmtId="0" fontId="0" fillId="0" borderId="8"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43" fontId="0" fillId="4" borderId="89" xfId="1" applyFont="1" applyFill="1" applyBorder="1" applyAlignment="1">
      <alignment vertical="center" wrapText="1"/>
    </xf>
    <xf numFmtId="0" fontId="0" fillId="3" borderId="87" xfId="0" applyFill="1" applyBorder="1" applyAlignment="1">
      <alignment vertical="center" wrapText="1"/>
    </xf>
    <xf numFmtId="169" fontId="7" fillId="3" borderId="86" xfId="0" applyNumberFormat="1" applyFont="1" applyFill="1" applyBorder="1" applyAlignment="1" applyProtection="1">
      <alignment horizontal="center" vertical="center" wrapText="1"/>
      <protection locked="0"/>
    </xf>
    <xf numFmtId="2" fontId="7" fillId="3" borderId="86" xfId="0" applyNumberFormat="1" applyFont="1" applyFill="1" applyBorder="1" applyAlignment="1" applyProtection="1">
      <alignment horizontal="center" vertical="center" wrapText="1"/>
      <protection locked="0"/>
    </xf>
    <xf numFmtId="0" fontId="0" fillId="0" borderId="86" xfId="0" applyBorder="1" applyAlignment="1">
      <alignment horizontal="center" vertical="center" wrapText="1"/>
    </xf>
    <xf numFmtId="0" fontId="0" fillId="0" borderId="89" xfId="0" applyBorder="1" applyAlignment="1">
      <alignment horizontal="center" vertical="center" wrapText="1"/>
    </xf>
    <xf numFmtId="0" fontId="83" fillId="37" borderId="0" xfId="0" applyFont="1" applyFill="1"/>
    <xf numFmtId="0" fontId="45" fillId="37" borderId="0" xfId="0" applyFont="1" applyFill="1" applyBorder="1" applyAlignment="1" applyProtection="1">
      <alignment horizontal="left" vertical="center" wrapText="1"/>
      <protection hidden="1"/>
    </xf>
    <xf numFmtId="0" fontId="42" fillId="37" borderId="0" xfId="0" applyFont="1" applyFill="1" applyAlignment="1">
      <alignment vertical="center" wrapText="1"/>
    </xf>
    <xf numFmtId="0" fontId="0" fillId="0" borderId="14" xfId="0" applyBorder="1" applyAlignment="1">
      <alignment horizontal="center" vertical="center" wrapText="1"/>
    </xf>
    <xf numFmtId="0" fontId="3" fillId="0" borderId="146" xfId="0" applyFont="1" applyBorder="1" applyAlignment="1">
      <alignment horizontal="center" vertical="center" wrapText="1"/>
    </xf>
    <xf numFmtId="0" fontId="45" fillId="0" borderId="185" xfId="0" applyFont="1" applyFill="1" applyBorder="1" applyAlignment="1" applyProtection="1">
      <alignment horizontal="left" vertical="center" wrapText="1"/>
      <protection hidden="1"/>
    </xf>
    <xf numFmtId="0" fontId="3" fillId="0" borderId="185" xfId="0" applyFont="1" applyBorder="1" applyAlignment="1">
      <alignment vertical="center" wrapText="1"/>
    </xf>
    <xf numFmtId="0" fontId="45" fillId="0" borderId="195" xfId="0" applyFont="1" applyFill="1" applyBorder="1" applyAlignment="1" applyProtection="1">
      <alignment horizontal="left" vertical="center" wrapText="1"/>
      <protection hidden="1"/>
    </xf>
    <xf numFmtId="0" fontId="0" fillId="0" borderId="196" xfId="0" applyBorder="1" applyAlignment="1">
      <alignment vertical="center" wrapText="1"/>
    </xf>
    <xf numFmtId="1" fontId="7" fillId="3" borderId="197" xfId="0" applyNumberFormat="1" applyFont="1" applyFill="1" applyBorder="1" applyAlignment="1" applyProtection="1">
      <alignment horizontal="center" vertical="center" wrapText="1"/>
      <protection locked="0"/>
    </xf>
    <xf numFmtId="169" fontId="7" fillId="3" borderId="197" xfId="0" applyNumberFormat="1" applyFont="1" applyFill="1" applyBorder="1" applyAlignment="1" applyProtection="1">
      <alignment horizontal="center" vertical="center" wrapText="1"/>
      <protection locked="0"/>
    </xf>
    <xf numFmtId="2" fontId="7" fillId="3" borderId="197" xfId="0" applyNumberFormat="1" applyFont="1" applyFill="1" applyBorder="1" applyAlignment="1" applyProtection="1">
      <alignment horizontal="center" vertical="center" wrapText="1"/>
      <protection locked="0"/>
    </xf>
    <xf numFmtId="0" fontId="0" fillId="3" borderId="197" xfId="0" applyFill="1" applyBorder="1" applyAlignment="1">
      <alignment vertical="center" wrapText="1"/>
    </xf>
    <xf numFmtId="43" fontId="0" fillId="4" borderId="198" xfId="1" applyFont="1" applyFill="1" applyBorder="1" applyAlignment="1">
      <alignment vertical="center" wrapText="1"/>
    </xf>
    <xf numFmtId="0" fontId="7" fillId="0" borderId="119" xfId="0" applyFont="1" applyFill="1" applyBorder="1" applyAlignment="1" applyProtection="1">
      <alignment horizontal="center" vertical="center" wrapText="1"/>
      <protection locked="0"/>
    </xf>
    <xf numFmtId="0" fontId="7" fillId="0" borderId="119" xfId="0" applyFont="1" applyFill="1" applyBorder="1" applyAlignment="1" applyProtection="1">
      <alignment horizontal="center" vertical="center" wrapText="1"/>
    </xf>
    <xf numFmtId="0" fontId="0" fillId="0" borderId="119" xfId="0" applyBorder="1" applyAlignment="1">
      <alignment vertical="center" wrapText="1"/>
    </xf>
    <xf numFmtId="0" fontId="0" fillId="0" borderId="199" xfId="0" applyBorder="1" applyAlignment="1">
      <alignment horizontal="center" vertical="center" wrapText="1"/>
    </xf>
    <xf numFmtId="0" fontId="84" fillId="37" borderId="119" xfId="0" applyFont="1" applyFill="1" applyBorder="1" applyAlignment="1" applyProtection="1">
      <alignment horizontal="left" vertical="center" wrapText="1"/>
      <protection hidden="1"/>
    </xf>
    <xf numFmtId="0" fontId="3" fillId="37" borderId="119" xfId="0" applyFont="1" applyFill="1" applyBorder="1" applyAlignment="1">
      <alignment vertical="center" wrapText="1"/>
    </xf>
    <xf numFmtId="0" fontId="45" fillId="37" borderId="119" xfId="0" applyFont="1" applyFill="1" applyBorder="1" applyAlignment="1" applyProtection="1">
      <alignment horizontal="left" vertical="center" wrapText="1"/>
      <protection hidden="1"/>
    </xf>
    <xf numFmtId="0" fontId="0" fillId="0" borderId="129" xfId="0" applyBorder="1" applyAlignment="1">
      <alignment horizontal="center" vertical="center" wrapText="1"/>
    </xf>
    <xf numFmtId="0" fontId="0" fillId="0" borderId="126" xfId="0" applyBorder="1" applyAlignment="1">
      <alignment horizontal="center" vertical="center" wrapText="1"/>
    </xf>
    <xf numFmtId="0" fontId="0" fillId="0" borderId="128" xfId="0" applyBorder="1" applyAlignment="1">
      <alignment horizontal="center" vertical="center" wrapText="1"/>
    </xf>
    <xf numFmtId="1" fontId="7" fillId="48" borderId="86" xfId="0" applyNumberFormat="1" applyFont="1" applyFill="1" applyBorder="1" applyAlignment="1" applyProtection="1">
      <alignment horizontal="center" vertical="center" wrapText="1"/>
      <protection locked="0"/>
    </xf>
    <xf numFmtId="0" fontId="0" fillId="0" borderId="146" xfId="0" applyBorder="1" applyAlignment="1">
      <alignment vertical="center" wrapText="1"/>
    </xf>
    <xf numFmtId="0" fontId="7" fillId="0" borderId="185" xfId="0" applyFont="1" applyFill="1" applyBorder="1" applyAlignment="1" applyProtection="1">
      <alignment horizontal="left" vertical="center" wrapText="1"/>
      <protection hidden="1"/>
    </xf>
    <xf numFmtId="169" fontId="7" fillId="48" borderId="197" xfId="0" applyNumberFormat="1" applyFont="1" applyFill="1" applyBorder="1" applyAlignment="1" applyProtection="1">
      <alignment horizontal="center" vertical="center" wrapText="1"/>
      <protection locked="0"/>
    </xf>
    <xf numFmtId="44" fontId="7" fillId="3" borderId="197" xfId="2" applyFont="1" applyFill="1" applyBorder="1" applyAlignment="1" applyProtection="1">
      <alignment horizontal="center" vertical="center" wrapText="1"/>
      <protection locked="0"/>
    </xf>
    <xf numFmtId="9" fontId="7" fillId="3" borderId="197" xfId="3" applyFont="1" applyFill="1" applyBorder="1" applyAlignment="1" applyProtection="1">
      <alignment horizontal="center" vertical="center" wrapText="1"/>
      <protection locked="0"/>
    </xf>
    <xf numFmtId="169" fontId="7" fillId="47" borderId="197" xfId="0" applyNumberFormat="1" applyFont="1" applyFill="1" applyBorder="1" applyAlignment="1" applyProtection="1">
      <alignment horizontal="center" vertical="center" wrapText="1"/>
      <protection locked="0"/>
    </xf>
    <xf numFmtId="44" fontId="0" fillId="3" borderId="87" xfId="2" applyFont="1" applyFill="1" applyBorder="1" applyAlignment="1">
      <alignment vertical="center" wrapText="1"/>
    </xf>
    <xf numFmtId="9" fontId="0" fillId="3" borderId="87" xfId="3" applyFont="1" applyFill="1" applyBorder="1" applyAlignment="1">
      <alignment vertical="center" wrapText="1"/>
    </xf>
    <xf numFmtId="0" fontId="0" fillId="0" borderId="195" xfId="0" applyBorder="1" applyAlignment="1">
      <alignment vertical="center" wrapText="1"/>
    </xf>
    <xf numFmtId="0" fontId="0" fillId="0" borderId="199" xfId="0" applyBorder="1" applyAlignment="1">
      <alignment vertical="center" wrapText="1"/>
    </xf>
    <xf numFmtId="44" fontId="0" fillId="4" borderId="198" xfId="0" applyNumberFormat="1" applyFill="1" applyBorder="1" applyAlignment="1">
      <alignment vertical="center" wrapText="1"/>
    </xf>
    <xf numFmtId="44" fontId="0" fillId="4" borderId="200" xfId="0" applyNumberFormat="1" applyFill="1" applyBorder="1" applyAlignment="1">
      <alignment vertical="center" wrapText="1"/>
    </xf>
    <xf numFmtId="44" fontId="0" fillId="4" borderId="201" xfId="0" applyNumberFormat="1" applyFill="1" applyBorder="1" applyAlignment="1">
      <alignment vertical="center" wrapText="1"/>
    </xf>
    <xf numFmtId="0" fontId="0" fillId="4" borderId="200" xfId="0" applyFill="1" applyBorder="1" applyAlignment="1">
      <alignment vertical="center" wrapText="1"/>
    </xf>
    <xf numFmtId="0" fontId="0" fillId="4" borderId="201" xfId="0" applyFill="1" applyBorder="1" applyAlignment="1">
      <alignment vertical="center" wrapText="1"/>
    </xf>
    <xf numFmtId="0" fontId="45" fillId="37" borderId="120" xfId="0" applyFont="1" applyFill="1" applyBorder="1" applyAlignment="1" applyProtection="1">
      <alignment horizontal="left" vertical="center" wrapText="1"/>
      <protection hidden="1"/>
    </xf>
    <xf numFmtId="0" fontId="86" fillId="37" borderId="0" xfId="0" applyFont="1" applyFill="1" applyAlignment="1">
      <alignment vertical="center"/>
    </xf>
    <xf numFmtId="0" fontId="55" fillId="37" borderId="0" xfId="0" applyFont="1" applyFill="1" applyBorder="1" applyAlignment="1">
      <alignment vertical="center"/>
    </xf>
    <xf numFmtId="0" fontId="55" fillId="37" borderId="0" xfId="0" applyFont="1" applyFill="1" applyAlignment="1">
      <alignment vertical="center"/>
    </xf>
    <xf numFmtId="0" fontId="0" fillId="0" borderId="7" xfId="0" applyFont="1" applyBorder="1" applyAlignment="1">
      <alignment vertical="center" wrapText="1"/>
    </xf>
    <xf numFmtId="0" fontId="0" fillId="0" borderId="10" xfId="0" applyFont="1" applyBorder="1" applyAlignment="1">
      <alignment vertical="center" wrapText="1"/>
    </xf>
    <xf numFmtId="0" fontId="87" fillId="0" borderId="7" xfId="0" applyFont="1" applyFill="1" applyBorder="1" applyAlignment="1" applyProtection="1">
      <alignment horizontal="left" vertical="center" wrapText="1"/>
      <protection hidden="1"/>
    </xf>
    <xf numFmtId="0" fontId="45" fillId="0" borderId="119" xfId="0" applyFont="1" applyFill="1" applyBorder="1" applyAlignment="1" applyProtection="1">
      <alignment horizontal="left" vertical="center" wrapText="1"/>
      <protection hidden="1"/>
    </xf>
    <xf numFmtId="0" fontId="87" fillId="0" borderId="27" xfId="0" applyFont="1" applyFill="1" applyBorder="1" applyAlignment="1" applyProtection="1">
      <alignment horizontal="left" vertical="center" wrapText="1"/>
      <protection hidden="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8" xfId="0" applyFont="1" applyBorder="1" applyAlignment="1">
      <alignment horizontal="center" vertical="center" wrapText="1"/>
    </xf>
    <xf numFmtId="0" fontId="87" fillId="0" borderId="27" xfId="0" applyFont="1" applyFill="1" applyBorder="1" applyAlignment="1" applyProtection="1">
      <alignment horizontal="center" vertical="center" wrapText="1"/>
      <protection hidden="1"/>
    </xf>
    <xf numFmtId="0" fontId="87" fillId="0" borderId="7" xfId="0" applyFont="1" applyFill="1" applyBorder="1" applyAlignment="1" applyProtection="1">
      <alignment horizontal="center" vertical="center" wrapText="1"/>
      <protection hidden="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44" fontId="0" fillId="4" borderId="11" xfId="0" applyNumberFormat="1" applyFill="1" applyBorder="1" applyAlignment="1">
      <alignment vertical="center" wrapText="1"/>
    </xf>
    <xf numFmtId="44" fontId="0" fillId="4" borderId="12" xfId="0" applyNumberFormat="1" applyFill="1" applyBorder="1" applyAlignment="1">
      <alignment vertical="center" wrapText="1"/>
    </xf>
    <xf numFmtId="44" fontId="0" fillId="4" borderId="9" xfId="0" applyNumberFormat="1" applyFill="1" applyBorder="1" applyAlignment="1">
      <alignment vertical="center" wrapText="1"/>
    </xf>
    <xf numFmtId="1" fontId="7" fillId="3" borderId="28" xfId="0" applyNumberFormat="1" applyFont="1" applyFill="1" applyBorder="1" applyAlignment="1" applyProtection="1">
      <alignment horizontal="center" vertical="center" wrapText="1"/>
      <protection locked="0"/>
    </xf>
    <xf numFmtId="0" fontId="0" fillId="3" borderId="28" xfId="0" applyFill="1" applyBorder="1" applyAlignment="1">
      <alignment vertical="center" wrapText="1"/>
    </xf>
    <xf numFmtId="0" fontId="0" fillId="3" borderId="29" xfId="0" applyFill="1" applyBorder="1" applyAlignment="1">
      <alignment vertical="center" wrapText="1"/>
    </xf>
    <xf numFmtId="169" fontId="7" fillId="3" borderId="8" xfId="0" applyNumberFormat="1" applyFont="1" applyFill="1" applyBorder="1" applyAlignment="1" applyProtection="1">
      <alignment horizontal="center" vertical="center" wrapText="1"/>
      <protection locked="0"/>
    </xf>
    <xf numFmtId="1" fontId="7" fillId="3" borderId="8" xfId="0" applyNumberFormat="1" applyFont="1" applyFill="1" applyBorder="1" applyAlignment="1" applyProtection="1">
      <alignment horizontal="center" vertical="center" wrapText="1"/>
      <protection locked="0"/>
    </xf>
    <xf numFmtId="0" fontId="0" fillId="3" borderId="8" xfId="0" applyFill="1" applyBorder="1" applyAlignment="1">
      <alignment vertical="center" wrapText="1"/>
    </xf>
    <xf numFmtId="0" fontId="0" fillId="3" borderId="9" xfId="0" applyFill="1" applyBorder="1" applyAlignment="1">
      <alignment vertical="center" wrapText="1"/>
    </xf>
    <xf numFmtId="44" fontId="7" fillId="3" borderId="8" xfId="2" applyFont="1" applyFill="1" applyBorder="1" applyAlignment="1" applyProtection="1">
      <alignment horizontal="center" vertical="center" wrapText="1"/>
      <protection locked="0"/>
    </xf>
    <xf numFmtId="172" fontId="7" fillId="3" borderId="8" xfId="2" applyNumberFormat="1" applyFont="1" applyFill="1" applyBorder="1" applyAlignment="1" applyProtection="1">
      <alignment horizontal="center" vertical="center" wrapText="1"/>
      <protection locked="0"/>
    </xf>
    <xf numFmtId="44" fontId="0" fillId="3" borderId="8" xfId="2" applyFont="1" applyFill="1" applyBorder="1" applyAlignment="1">
      <alignment vertical="center" wrapText="1"/>
    </xf>
    <xf numFmtId="44" fontId="0" fillId="3" borderId="9" xfId="2" applyFont="1" applyFill="1" applyBorder="1" applyAlignment="1">
      <alignment vertical="center" wrapText="1"/>
    </xf>
    <xf numFmtId="0" fontId="0" fillId="0" borderId="204" xfId="0" applyFill="1" applyBorder="1" applyAlignment="1">
      <alignment vertical="center" wrapText="1"/>
    </xf>
    <xf numFmtId="0" fontId="0" fillId="0" borderId="205" xfId="0" applyFill="1" applyBorder="1" applyAlignment="1">
      <alignment vertical="center" wrapText="1"/>
    </xf>
    <xf numFmtId="0" fontId="0" fillId="42" borderId="13" xfId="0" applyFill="1" applyBorder="1" applyAlignment="1">
      <alignment vertical="center" wrapText="1"/>
    </xf>
    <xf numFmtId="0" fontId="3" fillId="42" borderId="13" xfId="0" applyFont="1" applyFill="1" applyBorder="1" applyAlignment="1">
      <alignment horizontal="center" vertical="center" wrapText="1"/>
    </xf>
    <xf numFmtId="0" fontId="3" fillId="42" borderId="14" xfId="0" applyFont="1" applyFill="1" applyBorder="1" applyAlignment="1">
      <alignment horizontal="center" vertical="center" wrapText="1"/>
    </xf>
    <xf numFmtId="0" fontId="51" fillId="37" borderId="0" xfId="0" applyFont="1" applyFill="1"/>
    <xf numFmtId="0" fontId="7" fillId="37" borderId="0" xfId="0" applyFont="1" applyFill="1" applyBorder="1" applyAlignment="1">
      <alignment vertical="center" wrapText="1"/>
    </xf>
    <xf numFmtId="0" fontId="7" fillId="37" borderId="0" xfId="0" applyFont="1" applyFill="1" applyBorder="1" applyAlignment="1" applyProtection="1">
      <alignment horizontal="center" vertical="center" wrapText="1"/>
    </xf>
    <xf numFmtId="0" fontId="0" fillId="37" borderId="6" xfId="0" applyFill="1" applyBorder="1" applyAlignment="1">
      <alignment vertical="center" wrapText="1"/>
    </xf>
    <xf numFmtId="0" fontId="0" fillId="37" borderId="9" xfId="0" applyFill="1" applyBorder="1" applyAlignment="1">
      <alignment vertical="center" wrapText="1"/>
    </xf>
    <xf numFmtId="0" fontId="0" fillId="37" borderId="12" xfId="0" applyFill="1" applyBorder="1" applyAlignment="1">
      <alignment vertical="center" wrapText="1"/>
    </xf>
    <xf numFmtId="0" fontId="0" fillId="37" borderId="0" xfId="0" applyFill="1" applyAlignment="1">
      <alignment vertical="center"/>
    </xf>
    <xf numFmtId="0" fontId="45" fillId="37" borderId="0" xfId="0" applyFont="1" applyFill="1" applyBorder="1" applyAlignment="1">
      <alignment horizontal="center" vertical="center" wrapText="1"/>
    </xf>
    <xf numFmtId="0" fontId="7" fillId="37" borderId="0" xfId="0" applyFont="1" applyFill="1" applyBorder="1" applyAlignment="1" applyProtection="1">
      <alignment horizontal="center" vertical="center" wrapText="1"/>
      <protection locked="0"/>
    </xf>
    <xf numFmtId="3" fontId="7" fillId="37" borderId="0" xfId="0" applyNumberFormat="1" applyFont="1" applyFill="1" applyBorder="1" applyAlignment="1" applyProtection="1">
      <alignment horizontal="center" vertical="center" wrapText="1"/>
      <protection locked="0"/>
    </xf>
    <xf numFmtId="165" fontId="7" fillId="37" borderId="0" xfId="0" applyNumberFormat="1" applyFont="1" applyFill="1" applyBorder="1" applyAlignment="1" applyProtection="1">
      <alignment horizontal="center" vertical="center" wrapText="1"/>
      <protection locked="0"/>
    </xf>
    <xf numFmtId="3" fontId="45" fillId="37" borderId="0" xfId="0" applyNumberFormat="1" applyFont="1" applyFill="1" applyBorder="1" applyAlignment="1">
      <alignment horizontal="center" vertical="center" wrapText="1"/>
    </xf>
    <xf numFmtId="0" fontId="7" fillId="37" borderId="0" xfId="0" applyFont="1" applyFill="1" applyBorder="1"/>
    <xf numFmtId="166" fontId="7" fillId="37" borderId="0" xfId="5" applyNumberFormat="1" applyFont="1" applyFill="1" applyBorder="1"/>
    <xf numFmtId="166" fontId="52" fillId="37" borderId="0" xfId="5" applyNumberFormat="1" applyFont="1" applyFill="1" applyBorder="1"/>
    <xf numFmtId="0" fontId="7" fillId="37" borderId="0" xfId="0" applyFont="1" applyFill="1"/>
    <xf numFmtId="43" fontId="52" fillId="37" borderId="0" xfId="1" applyFont="1" applyFill="1" applyBorder="1"/>
    <xf numFmtId="43" fontId="52" fillId="37" borderId="0" xfId="5" applyNumberFormat="1" applyFont="1" applyFill="1" applyBorder="1"/>
    <xf numFmtId="9" fontId="51" fillId="37" borderId="0" xfId="3" applyFont="1" applyFill="1"/>
    <xf numFmtId="166" fontId="51" fillId="37" borderId="0" xfId="1" applyNumberFormat="1" applyFont="1" applyFill="1"/>
    <xf numFmtId="0" fontId="7" fillId="37" borderId="0" xfId="0" applyFont="1" applyFill="1" applyBorder="1" applyAlignment="1" applyProtection="1">
      <alignment vertical="center" wrapText="1"/>
    </xf>
    <xf numFmtId="0" fontId="3" fillId="37" borderId="0" xfId="0" applyFont="1" applyFill="1" applyAlignment="1">
      <alignment horizontal="center"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10" xfId="0" applyFont="1" applyBorder="1" applyAlignment="1">
      <alignment vertical="center" wrapText="1"/>
    </xf>
    <xf numFmtId="0" fontId="55" fillId="0" borderId="0" xfId="0" applyFont="1" applyFill="1" applyBorder="1" applyAlignment="1">
      <alignment vertical="center" wrapText="1"/>
    </xf>
    <xf numFmtId="0" fontId="55" fillId="0" borderId="0" xfId="0" applyFont="1" applyAlignment="1">
      <alignment vertical="center" wrapText="1"/>
    </xf>
    <xf numFmtId="0" fontId="55" fillId="0" borderId="0" xfId="0" applyFont="1" applyFill="1" applyBorder="1"/>
    <xf numFmtId="43" fontId="0" fillId="0" borderId="0" xfId="1" applyFont="1"/>
    <xf numFmtId="177" fontId="0" fillId="0" borderId="0" xfId="0" applyNumberFormat="1"/>
    <xf numFmtId="176" fontId="0" fillId="4" borderId="6" xfId="0" applyNumberFormat="1" applyFill="1" applyBorder="1" applyAlignment="1">
      <alignment vertical="center" wrapText="1"/>
    </xf>
    <xf numFmtId="165" fontId="0" fillId="3" borderId="8" xfId="3" applyNumberFormat="1" applyFont="1" applyFill="1" applyBorder="1" applyAlignment="1" applyProtection="1">
      <alignment vertical="center" wrapText="1"/>
      <protection locked="0"/>
    </xf>
    <xf numFmtId="2" fontId="0" fillId="4" borderId="8" xfId="0" applyNumberFormat="1" applyFill="1" applyBorder="1" applyAlignment="1" applyProtection="1">
      <alignment vertical="center" wrapText="1"/>
      <protection locked="0"/>
    </xf>
    <xf numFmtId="43" fontId="0" fillId="4" borderId="8" xfId="1" applyFont="1" applyFill="1" applyBorder="1" applyAlignment="1" applyProtection="1">
      <alignment vertical="center" wrapText="1"/>
      <protection locked="0"/>
    </xf>
    <xf numFmtId="164" fontId="0" fillId="37" borderId="3" xfId="0" applyNumberFormat="1" applyFill="1" applyBorder="1" applyAlignment="1" applyProtection="1">
      <alignment horizontal="center" vertical="center" wrapText="1"/>
      <protection locked="0"/>
    </xf>
    <xf numFmtId="178" fontId="0" fillId="37" borderId="0" xfId="0" applyNumberFormat="1" applyFill="1"/>
    <xf numFmtId="176" fontId="0" fillId="49" borderId="5" xfId="0" applyNumberFormat="1" applyFill="1" applyBorder="1" applyAlignment="1">
      <alignment vertical="center" wrapText="1"/>
    </xf>
    <xf numFmtId="0" fontId="0" fillId="37" borderId="22" xfId="0" applyFill="1" applyBorder="1"/>
    <xf numFmtId="0" fontId="0" fillId="37" borderId="23" xfId="0" applyFill="1" applyBorder="1"/>
    <xf numFmtId="0" fontId="0" fillId="37" borderId="57" xfId="0" applyFill="1" applyBorder="1"/>
    <xf numFmtId="0" fontId="82" fillId="37" borderId="0" xfId="0" applyFont="1" applyFill="1" applyAlignment="1">
      <alignment vertical="center" wrapText="1"/>
    </xf>
    <xf numFmtId="0" fontId="0" fillId="0" borderId="8" xfId="0" applyBorder="1" applyAlignment="1">
      <alignment vertical="center" wrapText="1"/>
    </xf>
    <xf numFmtId="176" fontId="0" fillId="37" borderId="207" xfId="0" applyNumberFormat="1" applyFill="1" applyBorder="1" applyAlignment="1">
      <alignment vertical="center" wrapText="1"/>
    </xf>
    <xf numFmtId="176" fontId="0" fillId="37" borderId="162" xfId="0" applyNumberFormat="1" applyFill="1" applyBorder="1" applyAlignment="1">
      <alignment vertical="center" wrapText="1"/>
    </xf>
    <xf numFmtId="176" fontId="0" fillId="37" borderId="209" xfId="0" applyNumberFormat="1" applyFill="1" applyBorder="1" applyAlignment="1">
      <alignment vertical="center" wrapText="1"/>
    </xf>
    <xf numFmtId="0" fontId="4" fillId="37" borderId="21" xfId="0" applyFont="1" applyFill="1" applyBorder="1"/>
    <xf numFmtId="0" fontId="4" fillId="37" borderId="35" xfId="0" applyFont="1" applyFill="1" applyBorder="1" applyAlignment="1">
      <alignment horizontal="center"/>
    </xf>
    <xf numFmtId="0" fontId="4" fillId="37" borderId="35" xfId="0" applyFont="1" applyFill="1" applyBorder="1"/>
    <xf numFmtId="0" fontId="82" fillId="37" borderId="0" xfId="0" applyFont="1" applyFill="1" applyAlignment="1">
      <alignment horizontal="left" vertical="center"/>
    </xf>
    <xf numFmtId="0" fontId="0" fillId="4" borderId="119" xfId="0" applyFill="1" applyBorder="1" applyAlignment="1">
      <alignment horizontal="center" vertical="center" wrapText="1"/>
    </xf>
    <xf numFmtId="0" fontId="0" fillId="37" borderId="0" xfId="0" applyFill="1" applyAlignment="1" applyProtection="1">
      <alignment horizontal="center" vertical="center" wrapText="1"/>
      <protection hidden="1"/>
    </xf>
    <xf numFmtId="0" fontId="0" fillId="37" borderId="0" xfId="0" applyFill="1" applyAlignment="1">
      <alignment vertical="center" wrapText="1"/>
    </xf>
    <xf numFmtId="0" fontId="0" fillId="0" borderId="0" xfId="0" applyAlignment="1">
      <alignment vertical="center" wrapText="1"/>
    </xf>
    <xf numFmtId="43" fontId="0" fillId="4" borderId="201" xfId="1" applyFont="1" applyFill="1" applyBorder="1" applyAlignment="1">
      <alignment vertical="center" wrapText="1"/>
    </xf>
    <xf numFmtId="0" fontId="53" fillId="0" borderId="0" xfId="57" applyFont="1" applyBorder="1" applyAlignment="1">
      <alignment horizontal="left" vertical="top" wrapText="1"/>
    </xf>
    <xf numFmtId="0" fontId="90" fillId="0" borderId="0" xfId="58" applyAlignment="1">
      <alignment vertical="top"/>
    </xf>
    <xf numFmtId="0" fontId="89" fillId="0" borderId="0" xfId="56" applyFont="1" applyFill="1" applyBorder="1" applyAlignment="1">
      <alignment vertical="top"/>
    </xf>
    <xf numFmtId="0" fontId="53" fillId="0" borderId="0" xfId="57" applyFont="1" applyFill="1" applyBorder="1" applyAlignment="1">
      <alignment horizontal="left" vertical="top" wrapText="1"/>
    </xf>
    <xf numFmtId="0" fontId="53" fillId="0" borderId="0" xfId="57" applyFont="1" applyFill="1" applyAlignment="1">
      <alignment horizontal="left" vertical="top" wrapText="1"/>
    </xf>
    <xf numFmtId="0" fontId="0" fillId="46" borderId="119" xfId="0" applyFill="1" applyBorder="1" applyAlignment="1">
      <alignment horizontal="center" vertical="center" wrapText="1"/>
    </xf>
    <xf numFmtId="164" fontId="0" fillId="46" borderId="8" xfId="0" applyNumberFormat="1" applyFill="1" applyBorder="1" applyAlignment="1" applyProtection="1">
      <alignment horizontal="center" vertical="center" wrapText="1"/>
      <protection locked="0"/>
    </xf>
    <xf numFmtId="164" fontId="0" fillId="46" borderId="80" xfId="0" applyNumberFormat="1" applyFill="1" applyBorder="1" applyAlignment="1" applyProtection="1">
      <alignment horizontal="center" vertical="center" wrapText="1"/>
      <protection locked="0"/>
    </xf>
    <xf numFmtId="171" fontId="0" fillId="46" borderId="19" xfId="1" applyNumberFormat="1" applyFont="1" applyFill="1" applyBorder="1" applyAlignment="1" applyProtection="1">
      <alignment horizontal="center" vertical="center" wrapText="1"/>
      <protection locked="0"/>
    </xf>
    <xf numFmtId="167" fontId="0" fillId="46" borderId="8" xfId="2" applyNumberFormat="1" applyFont="1" applyFill="1" applyBorder="1" applyAlignment="1">
      <alignment vertical="center" wrapText="1"/>
    </xf>
    <xf numFmtId="174" fontId="0" fillId="46" borderId="11" xfId="2" applyNumberFormat="1" applyFont="1" applyFill="1" applyBorder="1" applyAlignment="1">
      <alignment vertical="center" wrapText="1"/>
    </xf>
    <xf numFmtId="176" fontId="3" fillId="50" borderId="162" xfId="0" applyNumberFormat="1" applyFont="1" applyFill="1" applyBorder="1" applyAlignment="1">
      <alignment vertical="center" wrapText="1"/>
    </xf>
    <xf numFmtId="0" fontId="79" fillId="37" borderId="0" xfId="0" applyFont="1" applyFill="1" applyBorder="1" applyAlignment="1">
      <alignment vertical="center" wrapText="1"/>
    </xf>
    <xf numFmtId="176" fontId="3" fillId="46" borderId="162" xfId="0" applyNumberFormat="1" applyFont="1" applyFill="1" applyBorder="1" applyAlignment="1">
      <alignment vertical="center" wrapText="1"/>
    </xf>
    <xf numFmtId="176" fontId="3" fillId="46" borderId="209" xfId="0" applyNumberFormat="1" applyFont="1" applyFill="1" applyBorder="1" applyAlignment="1">
      <alignment vertical="center" wrapText="1"/>
    </xf>
    <xf numFmtId="176" fontId="3" fillId="46" borderId="207" xfId="0" applyNumberFormat="1" applyFont="1" applyFill="1" applyBorder="1" applyAlignment="1">
      <alignment vertical="center" wrapText="1"/>
    </xf>
    <xf numFmtId="43" fontId="3" fillId="46" borderId="162" xfId="1" applyFont="1" applyFill="1" applyBorder="1" applyAlignment="1">
      <alignment vertical="center" wrapText="1"/>
    </xf>
    <xf numFmtId="43" fontId="3" fillId="46" borderId="163" xfId="1" applyFont="1" applyFill="1" applyBorder="1" applyAlignment="1">
      <alignment vertical="center" wrapText="1"/>
    </xf>
    <xf numFmtId="43" fontId="3" fillId="46" borderId="166" xfId="0" applyNumberFormat="1" applyFont="1" applyFill="1" applyBorder="1" applyAlignment="1">
      <alignment vertical="center" wrapText="1"/>
    </xf>
    <xf numFmtId="44" fontId="3" fillId="46" borderId="188" xfId="0" applyNumberFormat="1" applyFont="1" applyFill="1" applyBorder="1"/>
    <xf numFmtId="43" fontId="3" fillId="46" borderId="119" xfId="0" applyNumberFormat="1" applyFont="1" applyFill="1" applyBorder="1" applyAlignment="1">
      <alignment vertical="center" wrapText="1"/>
    </xf>
    <xf numFmtId="44" fontId="0" fillId="46" borderId="122" xfId="2" applyFont="1" applyFill="1" applyBorder="1" applyAlignment="1">
      <alignment vertical="center" wrapText="1"/>
    </xf>
    <xf numFmtId="0" fontId="7" fillId="46" borderId="28" xfId="0" applyFont="1" applyFill="1" applyBorder="1" applyAlignment="1" applyProtection="1">
      <alignment horizontal="center" vertical="center" wrapText="1"/>
      <protection locked="0"/>
    </xf>
    <xf numFmtId="0" fontId="7" fillId="46" borderId="190" xfId="0" applyFont="1" applyFill="1" applyBorder="1" applyAlignment="1" applyProtection="1">
      <alignment horizontal="center" vertical="center" wrapText="1"/>
      <protection locked="0"/>
    </xf>
    <xf numFmtId="44" fontId="0" fillId="46" borderId="119" xfId="2" applyFont="1" applyFill="1" applyBorder="1" applyAlignment="1">
      <alignment vertical="center" wrapText="1"/>
    </xf>
    <xf numFmtId="0" fontId="3" fillId="51" borderId="98" xfId="0" applyFont="1" applyFill="1" applyBorder="1" applyAlignment="1">
      <alignment vertical="center" wrapText="1"/>
    </xf>
    <xf numFmtId="0" fontId="56" fillId="51" borderId="13" xfId="54" applyFont="1" applyFill="1" applyBorder="1" applyAlignment="1">
      <alignment horizontal="center" vertical="center" wrapText="1"/>
    </xf>
    <xf numFmtId="0" fontId="56" fillId="51" borderId="13" xfId="54" applyFont="1" applyFill="1" applyBorder="1" applyAlignment="1" applyProtection="1">
      <alignment horizontal="center" vertical="center" wrapText="1"/>
      <protection locked="0"/>
    </xf>
    <xf numFmtId="179" fontId="0" fillId="3" borderId="119" xfId="2" applyNumberFormat="1" applyFont="1" applyFill="1" applyBorder="1"/>
    <xf numFmtId="179" fontId="0" fillId="3" borderId="126" xfId="0" applyNumberFormat="1" applyFill="1" applyBorder="1"/>
    <xf numFmtId="0" fontId="7" fillId="37" borderId="0" xfId="0" applyFont="1" applyFill="1" applyBorder="1" applyAlignment="1" applyProtection="1">
      <alignment horizontal="center" vertical="center" wrapText="1"/>
      <protection locked="0"/>
    </xf>
    <xf numFmtId="0" fontId="8" fillId="37" borderId="0" xfId="0" applyFont="1" applyFill="1" applyAlignment="1" applyProtection="1">
      <alignment horizontal="center" vertical="center"/>
      <protection hidden="1"/>
    </xf>
    <xf numFmtId="0" fontId="7" fillId="37" borderId="0" xfId="0" applyFont="1" applyFill="1" applyAlignment="1" applyProtection="1">
      <alignment horizontal="center" vertical="center" wrapText="1"/>
      <protection hidden="1"/>
    </xf>
    <xf numFmtId="0" fontId="0" fillId="37" borderId="0" xfId="0" applyFill="1" applyAlignment="1" applyProtection="1">
      <alignment horizontal="center" vertical="center"/>
      <protection hidden="1"/>
    </xf>
    <xf numFmtId="0" fontId="8" fillId="37" borderId="0" xfId="0" applyFont="1" applyFill="1" applyAlignment="1" applyProtection="1">
      <alignment horizontal="center" vertical="center" wrapText="1"/>
      <protection hidden="1"/>
    </xf>
    <xf numFmtId="0" fontId="91" fillId="37" borderId="0" xfId="0" applyFont="1" applyFill="1" applyAlignment="1" applyProtection="1">
      <alignment horizontal="center" vertical="center"/>
      <protection hidden="1"/>
    </xf>
    <xf numFmtId="0" fontId="92" fillId="37" borderId="0" xfId="0" applyFont="1" applyFill="1" applyAlignment="1" applyProtection="1">
      <alignment horizontal="center" vertical="center"/>
      <protection hidden="1"/>
    </xf>
    <xf numFmtId="0" fontId="93" fillId="37" borderId="0" xfId="0" applyFont="1" applyFill="1" applyAlignment="1" applyProtection="1">
      <alignment horizontal="center" vertical="center"/>
      <protection hidden="1"/>
    </xf>
    <xf numFmtId="0" fontId="8" fillId="37" borderId="0" xfId="0" applyNumberFormat="1" applyFont="1" applyFill="1" applyAlignment="1" applyProtection="1">
      <alignment horizontal="center" vertical="center"/>
      <protection hidden="1"/>
    </xf>
    <xf numFmtId="0" fontId="7" fillId="37" borderId="0" xfId="0" applyNumberFormat="1" applyFont="1" applyFill="1" applyAlignment="1" applyProtection="1">
      <alignment horizontal="center" vertical="center"/>
      <protection hidden="1"/>
    </xf>
    <xf numFmtId="180" fontId="7" fillId="37" borderId="0" xfId="0" applyNumberFormat="1" applyFont="1" applyFill="1" applyAlignment="1" applyProtection="1">
      <alignment horizontal="center" vertical="center"/>
      <protection hidden="1"/>
    </xf>
    <xf numFmtId="0" fontId="16" fillId="37" borderId="0" xfId="0" applyFont="1" applyFill="1" applyBorder="1" applyAlignment="1" applyProtection="1">
      <alignment horizontal="center" vertical="center"/>
      <protection hidden="1"/>
    </xf>
    <xf numFmtId="166" fontId="16" fillId="37" borderId="0" xfId="5" applyNumberFormat="1" applyFont="1" applyFill="1" applyBorder="1" applyAlignment="1" applyProtection="1">
      <alignment horizontal="center" vertical="center"/>
      <protection hidden="1"/>
    </xf>
    <xf numFmtId="0" fontId="16" fillId="37" borderId="0" xfId="0" applyNumberFormat="1" applyFont="1" applyFill="1" applyBorder="1" applyAlignment="1" applyProtection="1">
      <alignment horizontal="center" vertical="center"/>
      <protection hidden="1"/>
    </xf>
    <xf numFmtId="0" fontId="16" fillId="37" borderId="0" xfId="5" applyNumberFormat="1" applyFont="1" applyFill="1" applyBorder="1" applyAlignment="1" applyProtection="1">
      <alignment horizontal="center" vertical="center"/>
      <protection hidden="1"/>
    </xf>
    <xf numFmtId="0" fontId="7" fillId="37" borderId="0" xfId="0" applyFont="1" applyFill="1" applyAlignment="1" applyProtection="1">
      <alignment horizontal="center" vertical="center"/>
      <protection hidden="1"/>
    </xf>
    <xf numFmtId="0" fontId="0" fillId="0" borderId="210" xfId="0" applyFill="1" applyBorder="1" applyAlignment="1">
      <alignment vertical="center" wrapText="1"/>
    </xf>
    <xf numFmtId="0" fontId="0" fillId="0" borderId="211" xfId="0" applyFill="1" applyBorder="1" applyAlignment="1">
      <alignment vertical="center" wrapText="1"/>
    </xf>
    <xf numFmtId="0" fontId="50" fillId="37" borderId="0" xfId="0" applyFont="1" applyFill="1" applyAlignment="1" applyProtection="1">
      <alignment horizontal="center" vertical="center"/>
      <protection hidden="1"/>
    </xf>
    <xf numFmtId="0" fontId="50" fillId="37" borderId="0" xfId="0" applyFont="1" applyFill="1" applyAlignment="1" applyProtection="1">
      <alignment horizontal="center" vertical="center" wrapText="1"/>
      <protection hidden="1"/>
    </xf>
    <xf numFmtId="168" fontId="50" fillId="37" borderId="0" xfId="0" applyNumberFormat="1" applyFont="1" applyFill="1" applyAlignment="1" applyProtection="1">
      <alignment horizontal="center" vertical="center"/>
      <protection hidden="1"/>
    </xf>
    <xf numFmtId="169" fontId="50" fillId="37" borderId="0" xfId="0" applyNumberFormat="1" applyFont="1" applyFill="1" applyAlignment="1" applyProtection="1">
      <alignment horizontal="center" vertical="center"/>
      <protection hidden="1"/>
    </xf>
    <xf numFmtId="0" fontId="95" fillId="37" borderId="0" xfId="0" applyFont="1" applyFill="1" applyAlignment="1" applyProtection="1">
      <alignment horizontal="center" vertical="center"/>
      <protection hidden="1"/>
    </xf>
    <xf numFmtId="0" fontId="50" fillId="37" borderId="0" xfId="0" applyFont="1" applyFill="1" applyBorder="1" applyAlignment="1" applyProtection="1">
      <alignment horizontal="center" vertical="center"/>
      <protection hidden="1"/>
    </xf>
    <xf numFmtId="0" fontId="84" fillId="37" borderId="0" xfId="0" applyFont="1" applyFill="1" applyAlignment="1" applyProtection="1">
      <alignment horizontal="center" vertical="center"/>
      <protection hidden="1"/>
    </xf>
    <xf numFmtId="0" fontId="87" fillId="0" borderId="4" xfId="0" applyFont="1" applyFill="1" applyBorder="1" applyAlignment="1" applyProtection="1">
      <alignment horizontal="left" vertical="center" wrapText="1"/>
    </xf>
    <xf numFmtId="0" fontId="88" fillId="42" borderId="2" xfId="0" applyFont="1" applyFill="1" applyBorder="1" applyAlignment="1" applyProtection="1">
      <alignment vertical="center" wrapText="1"/>
    </xf>
    <xf numFmtId="0" fontId="88" fillId="42" borderId="3" xfId="0" applyFont="1" applyFill="1" applyBorder="1" applyAlignment="1" applyProtection="1">
      <alignment vertical="center" wrapText="1"/>
    </xf>
    <xf numFmtId="0" fontId="88" fillId="42" borderId="81" xfId="0" applyFont="1" applyFill="1" applyBorder="1" applyAlignment="1" applyProtection="1">
      <alignment horizontal="center" vertical="center" wrapText="1"/>
    </xf>
    <xf numFmtId="0" fontId="88" fillId="42" borderId="23" xfId="0" applyFont="1" applyFill="1" applyBorder="1" applyAlignment="1" applyProtection="1">
      <alignment horizontal="center" vertical="center" wrapText="1"/>
    </xf>
    <xf numFmtId="0" fontId="0" fillId="0" borderId="5" xfId="0" applyFont="1" applyFill="1" applyBorder="1" applyAlignment="1" applyProtection="1">
      <alignment vertical="center" wrapText="1"/>
    </xf>
    <xf numFmtId="0" fontId="87" fillId="35" borderId="5" xfId="0" applyFont="1" applyFill="1" applyBorder="1" applyAlignment="1" applyProtection="1">
      <alignment horizontal="center" vertical="center" wrapText="1"/>
      <protection locked="0"/>
    </xf>
    <xf numFmtId="0" fontId="87" fillId="35" borderId="6" xfId="0" applyFont="1" applyFill="1" applyBorder="1" applyAlignment="1" applyProtection="1">
      <alignment horizontal="center" vertical="center" wrapText="1"/>
      <protection locked="0"/>
    </xf>
    <xf numFmtId="0" fontId="87" fillId="0" borderId="7" xfId="0" applyFont="1" applyFill="1" applyBorder="1" applyAlignment="1" applyProtection="1">
      <alignment vertical="center" wrapText="1"/>
    </xf>
    <xf numFmtId="0" fontId="87" fillId="0" borderId="8" xfId="0" applyFont="1" applyFill="1" applyBorder="1" applyAlignment="1" applyProtection="1">
      <alignment horizontal="center" vertical="center" wrapText="1"/>
    </xf>
    <xf numFmtId="180" fontId="87" fillId="4" borderId="9" xfId="0" applyNumberFormat="1" applyFont="1" applyFill="1" applyBorder="1" applyAlignment="1">
      <alignment horizontal="center" vertical="center" wrapText="1"/>
    </xf>
    <xf numFmtId="0" fontId="0" fillId="0" borderId="7" xfId="0" applyFont="1" applyBorder="1"/>
    <xf numFmtId="0" fontId="0" fillId="0" borderId="8" xfId="0" applyFont="1" applyBorder="1" applyAlignment="1">
      <alignment horizontal="center"/>
    </xf>
    <xf numFmtId="1" fontId="87" fillId="4" borderId="9" xfId="0" applyNumberFormat="1" applyFont="1" applyFill="1" applyBorder="1" applyAlignment="1">
      <alignment horizontal="center" vertical="center" wrapText="1"/>
    </xf>
    <xf numFmtId="169" fontId="87" fillId="4" borderId="9" xfId="0" applyNumberFormat="1" applyFont="1" applyFill="1" applyBorder="1" applyAlignment="1">
      <alignment horizontal="center" vertical="center" wrapText="1"/>
    </xf>
    <xf numFmtId="0" fontId="87" fillId="0" borderId="95" xfId="0" applyFont="1" applyFill="1" applyBorder="1" applyAlignment="1" applyProtection="1">
      <alignment vertical="center" wrapText="1"/>
    </xf>
    <xf numFmtId="0" fontId="87" fillId="0" borderId="80" xfId="0" applyFont="1" applyFill="1" applyBorder="1" applyAlignment="1" applyProtection="1">
      <alignment horizontal="center" vertical="center" wrapText="1"/>
    </xf>
    <xf numFmtId="180" fontId="87" fillId="4" borderId="208" xfId="0" applyNumberFormat="1" applyFont="1" applyFill="1" applyBorder="1" applyAlignment="1">
      <alignment horizontal="center" vertical="center" wrapText="1"/>
    </xf>
    <xf numFmtId="0" fontId="0" fillId="0" borderId="27" xfId="0" applyFont="1" applyBorder="1"/>
    <xf numFmtId="0" fontId="0" fillId="45" borderId="28" xfId="0" applyFont="1" applyFill="1" applyBorder="1" applyAlignment="1">
      <alignment horizontal="center"/>
    </xf>
    <xf numFmtId="0" fontId="87" fillId="3" borderId="29" xfId="0" applyFont="1" applyFill="1" applyBorder="1" applyAlignment="1">
      <alignment horizontal="center" vertical="center" wrapText="1"/>
    </xf>
    <xf numFmtId="3" fontId="87" fillId="4" borderId="8" xfId="0" applyNumberFormat="1" applyFont="1" applyFill="1" applyBorder="1" applyAlignment="1" applyProtection="1">
      <alignment horizontal="center" vertical="center" wrapText="1"/>
      <protection locked="0"/>
    </xf>
    <xf numFmtId="3" fontId="87" fillId="4" borderId="9" xfId="0" applyNumberFormat="1" applyFont="1" applyFill="1" applyBorder="1" applyAlignment="1" applyProtection="1">
      <alignment horizontal="center" vertical="center" wrapText="1"/>
      <protection locked="0"/>
    </xf>
    <xf numFmtId="0" fontId="87" fillId="3" borderId="8" xfId="0" applyFont="1" applyFill="1" applyBorder="1" applyAlignment="1" applyProtection="1">
      <alignment horizontal="center" vertical="center" wrapText="1"/>
      <protection locked="0"/>
    </xf>
    <xf numFmtId="0" fontId="87" fillId="3" borderId="9" xfId="0" applyFont="1" applyFill="1" applyBorder="1" applyAlignment="1" applyProtection="1">
      <alignment horizontal="center" vertical="center" wrapText="1"/>
      <protection locked="0"/>
    </xf>
    <xf numFmtId="165" fontId="87" fillId="3" borderId="8" xfId="0" applyNumberFormat="1" applyFont="1" applyFill="1" applyBorder="1" applyAlignment="1" applyProtection="1">
      <alignment horizontal="center" vertical="center" wrapText="1"/>
      <protection locked="0"/>
    </xf>
    <xf numFmtId="165" fontId="87" fillId="3" borderId="9" xfId="0" applyNumberFormat="1" applyFont="1" applyFill="1" applyBorder="1" applyAlignment="1" applyProtection="1">
      <alignment horizontal="center" vertical="center" wrapText="1"/>
      <protection locked="0"/>
    </xf>
    <xf numFmtId="0" fontId="87" fillId="35" borderId="8" xfId="0" applyFont="1" applyFill="1" applyBorder="1" applyAlignment="1" applyProtection="1">
      <alignment horizontal="center" vertical="center" wrapText="1"/>
      <protection locked="0"/>
    </xf>
    <xf numFmtId="0" fontId="87" fillId="35" borderId="9" xfId="0" applyFont="1" applyFill="1" applyBorder="1" applyAlignment="1" applyProtection="1">
      <alignment horizontal="center" vertical="center" wrapText="1"/>
      <protection locked="0"/>
    </xf>
    <xf numFmtId="3" fontId="87" fillId="3" borderId="8" xfId="0" applyNumberFormat="1" applyFont="1" applyFill="1" applyBorder="1" applyAlignment="1" applyProtection="1">
      <alignment horizontal="center" vertical="center" wrapText="1"/>
      <protection locked="0"/>
    </xf>
    <xf numFmtId="3" fontId="87" fillId="3" borderId="9" xfId="0" applyNumberFormat="1" applyFont="1" applyFill="1" applyBorder="1" applyAlignment="1" applyProtection="1">
      <alignment horizontal="center" vertical="center" wrapText="1"/>
      <protection locked="0"/>
    </xf>
    <xf numFmtId="0" fontId="87" fillId="0" borderId="10" xfId="0" applyFont="1" applyFill="1" applyBorder="1" applyAlignment="1" applyProtection="1">
      <alignment vertical="center" wrapText="1"/>
    </xf>
    <xf numFmtId="0" fontId="87" fillId="0" borderId="11" xfId="0" applyFont="1" applyFill="1" applyBorder="1" applyAlignment="1" applyProtection="1">
      <alignment horizontal="center" vertical="center" wrapText="1"/>
    </xf>
    <xf numFmtId="3" fontId="88" fillId="46" borderId="11" xfId="0" applyNumberFormat="1" applyFont="1" applyFill="1" applyBorder="1" applyAlignment="1">
      <alignment horizontal="center" vertical="center" wrapText="1"/>
    </xf>
    <xf numFmtId="3" fontId="88" fillId="46" borderId="12" xfId="0" applyNumberFormat="1" applyFont="1" applyFill="1" applyBorder="1" applyAlignment="1">
      <alignment horizontal="center" vertical="center" wrapText="1"/>
    </xf>
    <xf numFmtId="0" fontId="96" fillId="0" borderId="14" xfId="0" applyFont="1" applyFill="1" applyBorder="1" applyAlignment="1">
      <alignment horizontal="center" vertical="center" wrapText="1"/>
    </xf>
    <xf numFmtId="180" fontId="87" fillId="4" borderId="8" xfId="0" applyNumberFormat="1" applyFont="1" applyFill="1" applyBorder="1" applyAlignment="1">
      <alignment horizontal="center" vertical="center" wrapText="1"/>
    </xf>
    <xf numFmtId="1" fontId="87" fillId="4" borderId="8" xfId="0" applyNumberFormat="1" applyFont="1" applyFill="1" applyBorder="1" applyAlignment="1">
      <alignment horizontal="center" vertical="center" wrapText="1"/>
    </xf>
    <xf numFmtId="169" fontId="87" fillId="4" borderId="8" xfId="0" applyNumberFormat="1" applyFont="1" applyFill="1" applyBorder="1" applyAlignment="1">
      <alignment horizontal="center" vertical="center" wrapText="1"/>
    </xf>
    <xf numFmtId="180" fontId="87" fillId="4" borderId="80" xfId="0" applyNumberFormat="1" applyFont="1" applyFill="1" applyBorder="1" applyAlignment="1">
      <alignment horizontal="center" vertical="center" wrapText="1"/>
    </xf>
    <xf numFmtId="10" fontId="0" fillId="3" borderId="107" xfId="0" applyNumberFormat="1" applyFill="1" applyBorder="1" applyAlignment="1">
      <alignment horizontal="center" vertical="center" wrapText="1"/>
    </xf>
    <xf numFmtId="10" fontId="0" fillId="3" borderId="108" xfId="0" applyNumberFormat="1" applyFill="1" applyBorder="1" applyAlignment="1">
      <alignment horizontal="center" vertical="center" wrapText="1"/>
    </xf>
    <xf numFmtId="10" fontId="0" fillId="3" borderId="107" xfId="3" applyNumberFormat="1" applyFont="1" applyFill="1" applyBorder="1" applyAlignment="1">
      <alignment horizontal="center" vertical="center" wrapText="1"/>
    </xf>
    <xf numFmtId="0" fontId="0" fillId="4" borderId="107" xfId="0" applyFill="1" applyBorder="1" applyAlignment="1">
      <alignment horizontal="center" vertical="center" wrapText="1"/>
    </xf>
    <xf numFmtId="0" fontId="0" fillId="4" borderId="108" xfId="0" applyFill="1" applyBorder="1" applyAlignment="1">
      <alignment horizontal="center" vertical="center" wrapText="1"/>
    </xf>
    <xf numFmtId="3" fontId="0" fillId="4" borderId="107" xfId="0" applyNumberFormat="1" applyFill="1" applyBorder="1" applyAlignment="1">
      <alignment horizontal="center" vertical="center" wrapText="1"/>
    </xf>
    <xf numFmtId="0" fontId="0" fillId="3" borderId="107" xfId="0" applyFill="1" applyBorder="1" applyAlignment="1">
      <alignment horizontal="center" vertical="center" wrapText="1"/>
    </xf>
    <xf numFmtId="0" fontId="0" fillId="3" borderId="108" xfId="0" applyFill="1" applyBorder="1" applyAlignment="1">
      <alignment horizontal="center" vertical="center" wrapText="1"/>
    </xf>
    <xf numFmtId="3" fontId="3" fillId="46" borderId="107" xfId="0" applyNumberFormat="1" applyFont="1" applyFill="1" applyBorder="1" applyAlignment="1">
      <alignment horizontal="center" vertical="center" wrapText="1"/>
    </xf>
    <xf numFmtId="3" fontId="3" fillId="46" borderId="108" xfId="0" applyNumberFormat="1" applyFont="1" applyFill="1" applyBorder="1" applyAlignment="1">
      <alignment horizontal="center" vertical="center" wrapText="1"/>
    </xf>
    <xf numFmtId="2" fontId="0" fillId="3" borderId="205" xfId="1" applyNumberFormat="1" applyFont="1" applyFill="1" applyBorder="1" applyAlignment="1">
      <alignment horizontal="center" vertical="center" wrapText="1"/>
    </xf>
    <xf numFmtId="2" fontId="0" fillId="3" borderId="206" xfId="1" applyNumberFormat="1" applyFont="1" applyFill="1" applyBorder="1" applyAlignment="1">
      <alignment horizontal="center" vertical="center" wrapText="1"/>
    </xf>
    <xf numFmtId="180" fontId="0" fillId="4" borderId="107" xfId="0" applyNumberFormat="1" applyFill="1" applyBorder="1" applyAlignment="1">
      <alignment horizontal="center" vertical="center" wrapText="1"/>
    </xf>
    <xf numFmtId="180" fontId="0" fillId="4" borderId="108" xfId="0" applyNumberFormat="1" applyFill="1" applyBorder="1" applyAlignment="1">
      <alignment horizontal="center" vertical="center" wrapText="1"/>
    </xf>
    <xf numFmtId="169" fontId="0" fillId="4" borderId="107" xfId="0" applyNumberFormat="1" applyFill="1" applyBorder="1" applyAlignment="1">
      <alignment horizontal="center" vertical="center" wrapText="1"/>
    </xf>
    <xf numFmtId="169" fontId="0" fillId="4" borderId="108" xfId="0" applyNumberFormat="1" applyFill="1" applyBorder="1" applyAlignment="1">
      <alignment horizontal="center" vertical="center" wrapText="1"/>
    </xf>
    <xf numFmtId="1" fontId="0" fillId="4" borderId="211" xfId="0" applyNumberFormat="1" applyFill="1" applyBorder="1" applyAlignment="1">
      <alignment horizontal="center" vertical="center" wrapText="1"/>
    </xf>
    <xf numFmtId="1" fontId="0" fillId="4" borderId="212" xfId="0" applyNumberFormat="1" applyFill="1" applyBorder="1" applyAlignment="1">
      <alignment horizontal="center" vertical="center" wrapText="1"/>
    </xf>
    <xf numFmtId="4" fontId="3" fillId="46" borderId="110" xfId="0" applyNumberFormat="1" applyFont="1" applyFill="1" applyBorder="1" applyAlignment="1">
      <alignment horizontal="center" vertical="center" wrapText="1"/>
    </xf>
    <xf numFmtId="4" fontId="3" fillId="46" borderId="111" xfId="0" applyNumberFormat="1" applyFont="1" applyFill="1" applyBorder="1" applyAlignment="1">
      <alignment horizontal="center" vertical="center" wrapText="1"/>
    </xf>
    <xf numFmtId="3" fontId="0" fillId="4" borderId="107" xfId="1" applyNumberFormat="1" applyFont="1" applyFill="1" applyBorder="1" applyAlignment="1">
      <alignment horizontal="center" vertical="center" wrapText="1"/>
    </xf>
    <xf numFmtId="3" fontId="0" fillId="4" borderId="108" xfId="1" applyNumberFormat="1" applyFont="1" applyFill="1" applyBorder="1" applyAlignment="1">
      <alignment horizontal="center" vertical="center" wrapText="1"/>
    </xf>
    <xf numFmtId="3" fontId="0" fillId="4" borderId="108" xfId="0" applyNumberFormat="1" applyFill="1" applyBorder="1" applyAlignment="1">
      <alignment horizontal="center" vertical="center" wrapText="1"/>
    </xf>
    <xf numFmtId="0" fontId="0" fillId="3" borderId="28" xfId="0" applyFont="1" applyFill="1" applyBorder="1" applyAlignment="1">
      <alignment horizontal="center" vertical="center"/>
    </xf>
    <xf numFmtId="0" fontId="87" fillId="0" borderId="213" xfId="0" applyFont="1" applyFill="1" applyBorder="1" applyAlignment="1" applyProtection="1">
      <alignment vertical="center" wrapText="1"/>
    </xf>
    <xf numFmtId="0" fontId="87" fillId="0" borderId="214" xfId="0" applyFont="1" applyFill="1" applyBorder="1" applyAlignment="1" applyProtection="1">
      <alignment horizontal="center" vertical="center" wrapText="1"/>
    </xf>
    <xf numFmtId="0" fontId="87" fillId="3" borderId="215" xfId="0" applyFont="1" applyFill="1" applyBorder="1" applyAlignment="1" applyProtection="1">
      <alignment horizontal="center" vertical="center" wrapText="1"/>
      <protection locked="0"/>
    </xf>
    <xf numFmtId="0" fontId="87" fillId="0" borderId="161" xfId="0" applyFont="1" applyFill="1" applyBorder="1" applyAlignment="1" applyProtection="1">
      <alignment vertical="center" wrapText="1"/>
    </xf>
    <xf numFmtId="0" fontId="87" fillId="0" borderId="162" xfId="0" applyFont="1" applyFill="1" applyBorder="1" applyAlignment="1" applyProtection="1">
      <alignment horizontal="center" vertical="center" wrapText="1"/>
    </xf>
    <xf numFmtId="3" fontId="87" fillId="4" borderId="163" xfId="0" applyNumberFormat="1" applyFont="1" applyFill="1" applyBorder="1" applyAlignment="1" applyProtection="1">
      <alignment horizontal="center" vertical="center" wrapText="1"/>
      <protection locked="0"/>
    </xf>
    <xf numFmtId="165" fontId="87" fillId="3" borderId="163" xfId="0" applyNumberFormat="1" applyFont="1" applyFill="1" applyBorder="1" applyAlignment="1" applyProtection="1">
      <alignment horizontal="center" vertical="center" wrapText="1"/>
      <protection locked="0"/>
    </xf>
    <xf numFmtId="0" fontId="87" fillId="3" borderId="163" xfId="0" applyFont="1" applyFill="1" applyBorder="1" applyAlignment="1" applyProtection="1">
      <alignment horizontal="center" vertical="center" wrapText="1"/>
      <protection locked="0"/>
    </xf>
    <xf numFmtId="0" fontId="87" fillId="45" borderId="163" xfId="0" applyFont="1" applyFill="1" applyBorder="1" applyAlignment="1" applyProtection="1">
      <alignment horizontal="center" vertical="center" wrapText="1"/>
      <protection locked="0"/>
    </xf>
    <xf numFmtId="0" fontId="87" fillId="0" borderId="216" xfId="0" applyFont="1" applyFill="1" applyBorder="1" applyAlignment="1" applyProtection="1">
      <alignment vertical="center" wrapText="1"/>
    </xf>
    <xf numFmtId="0" fontId="87" fillId="0" borderId="209" xfId="0" applyFont="1" applyFill="1" applyBorder="1" applyAlignment="1" applyProtection="1">
      <alignment horizontal="center" vertical="center" wrapText="1"/>
    </xf>
    <xf numFmtId="3" fontId="87" fillId="3" borderId="217" xfId="0" applyNumberFormat="1" applyFont="1" applyFill="1" applyBorder="1" applyAlignment="1" applyProtection="1">
      <alignment horizontal="center" vertical="center" wrapText="1"/>
      <protection locked="0"/>
    </xf>
    <xf numFmtId="0" fontId="87" fillId="0" borderId="48" xfId="0" applyFont="1" applyFill="1" applyBorder="1" applyAlignment="1" applyProtection="1">
      <alignment vertical="center" wrapText="1"/>
    </xf>
    <xf numFmtId="0" fontId="87" fillId="0" borderId="62" xfId="0" applyFont="1" applyFill="1" applyBorder="1" applyAlignment="1" applyProtection="1">
      <alignment horizontal="center" vertical="center" wrapText="1"/>
    </xf>
    <xf numFmtId="3" fontId="88" fillId="46" borderId="36" xfId="0" applyNumberFormat="1" applyFont="1" applyFill="1" applyBorder="1" applyAlignment="1">
      <alignment horizontal="center" vertical="center" wrapText="1"/>
    </xf>
    <xf numFmtId="0" fontId="87" fillId="0" borderId="175" xfId="0" applyFont="1" applyFill="1" applyBorder="1" applyAlignment="1" applyProtection="1">
      <alignment vertical="center" wrapText="1"/>
    </xf>
    <xf numFmtId="0" fontId="87" fillId="0" borderId="178" xfId="0" applyFont="1" applyFill="1" applyBorder="1" applyAlignment="1" applyProtection="1">
      <alignment horizontal="center" vertical="center" wrapText="1"/>
    </xf>
    <xf numFmtId="0" fontId="87" fillId="0" borderId="219" xfId="0" applyFont="1" applyFill="1" applyBorder="1" applyAlignment="1" applyProtection="1">
      <alignment vertical="center" wrapText="1"/>
    </xf>
    <xf numFmtId="0" fontId="87" fillId="0" borderId="220" xfId="0" applyFont="1" applyFill="1" applyBorder="1" applyAlignment="1" applyProtection="1">
      <alignment horizontal="center" vertical="center" wrapText="1"/>
    </xf>
    <xf numFmtId="0" fontId="96" fillId="0" borderId="19" xfId="0" applyFont="1" applyFill="1" applyBorder="1" applyAlignment="1">
      <alignment horizontal="center" vertical="center" wrapText="1"/>
    </xf>
    <xf numFmtId="0" fontId="87" fillId="3" borderId="223" xfId="0" applyFont="1" applyFill="1" applyBorder="1" applyAlignment="1" applyProtection="1">
      <alignment horizontal="center" vertical="center" wrapText="1"/>
      <protection locked="0"/>
    </xf>
    <xf numFmtId="3" fontId="87" fillId="4" borderId="171" xfId="0" applyNumberFormat="1" applyFont="1" applyFill="1" applyBorder="1" applyAlignment="1" applyProtection="1">
      <alignment horizontal="center" vertical="center" wrapText="1"/>
      <protection locked="0"/>
    </xf>
    <xf numFmtId="165" fontId="87" fillId="3" borderId="171" xfId="0" applyNumberFormat="1" applyFont="1" applyFill="1" applyBorder="1" applyAlignment="1" applyProtection="1">
      <alignment horizontal="center" vertical="center" wrapText="1"/>
      <protection locked="0"/>
    </xf>
    <xf numFmtId="0" fontId="87" fillId="3" borderId="171" xfId="0" applyFont="1" applyFill="1" applyBorder="1" applyAlignment="1" applyProtection="1">
      <alignment horizontal="center" vertical="center" wrapText="1"/>
      <protection locked="0"/>
    </xf>
    <xf numFmtId="0" fontId="87" fillId="45" borderId="171" xfId="0" applyFont="1" applyFill="1" applyBorder="1" applyAlignment="1" applyProtection="1">
      <alignment horizontal="center" vertical="center" wrapText="1"/>
      <protection locked="0"/>
    </xf>
    <xf numFmtId="3" fontId="87" fillId="3" borderId="224" xfId="0" applyNumberFormat="1" applyFont="1" applyFill="1" applyBorder="1" applyAlignment="1" applyProtection="1">
      <alignment horizontal="center" vertical="center" wrapText="1"/>
      <protection locked="0"/>
    </xf>
    <xf numFmtId="3" fontId="88" fillId="46" borderId="112" xfId="0" applyNumberFormat="1" applyFont="1" applyFill="1" applyBorder="1" applyAlignment="1">
      <alignment horizontal="center" vertical="center" wrapText="1"/>
    </xf>
    <xf numFmtId="0" fontId="50" fillId="37" borderId="0" xfId="0" applyFont="1" applyFill="1" applyProtection="1">
      <protection hidden="1"/>
    </xf>
    <xf numFmtId="0" fontId="50" fillId="37" borderId="0" xfId="0" applyFont="1" applyFill="1" applyAlignment="1" applyProtection="1">
      <alignment wrapText="1"/>
      <protection hidden="1"/>
    </xf>
    <xf numFmtId="0" fontId="50" fillId="37" borderId="0" xfId="0" applyFont="1" applyFill="1" applyAlignment="1" applyProtection="1">
      <alignment vertical="center" wrapText="1"/>
      <protection hidden="1"/>
    </xf>
    <xf numFmtId="0" fontId="84" fillId="37" borderId="0" xfId="0" applyFont="1" applyFill="1" applyProtection="1">
      <protection hidden="1"/>
    </xf>
    <xf numFmtId="0" fontId="95" fillId="37" borderId="0" xfId="0" applyFont="1" applyFill="1" applyProtection="1">
      <protection hidden="1"/>
    </xf>
    <xf numFmtId="0" fontId="50" fillId="37" borderId="0" xfId="0" applyFont="1" applyFill="1" applyAlignment="1" applyProtection="1">
      <alignment vertical="top" wrapText="1"/>
      <protection hidden="1"/>
    </xf>
    <xf numFmtId="0" fontId="50" fillId="37" borderId="0" xfId="0" applyFont="1" applyFill="1" applyBorder="1" applyProtection="1">
      <protection hidden="1"/>
    </xf>
    <xf numFmtId="180" fontId="87" fillId="4" borderId="176" xfId="0" applyNumberFormat="1" applyFont="1" applyFill="1" applyBorder="1" applyAlignment="1" applyProtection="1">
      <alignment horizontal="center" vertical="center" wrapText="1"/>
    </xf>
    <xf numFmtId="180" fontId="87" fillId="4" borderId="170" xfId="0" applyNumberFormat="1" applyFont="1" applyFill="1" applyBorder="1" applyAlignment="1" applyProtection="1">
      <alignment horizontal="center" vertical="center" wrapText="1"/>
    </xf>
    <xf numFmtId="0" fontId="88" fillId="42" borderId="19" xfId="0" applyFont="1" applyFill="1" applyBorder="1" applyAlignment="1" applyProtection="1">
      <alignment horizontal="center" vertical="center" wrapText="1"/>
    </xf>
    <xf numFmtId="0" fontId="88" fillId="42" borderId="14" xfId="0" applyFont="1" applyFill="1" applyBorder="1" applyAlignment="1" applyProtection="1">
      <alignment horizontal="center" vertical="center" wrapText="1"/>
    </xf>
    <xf numFmtId="180" fontId="50" fillId="37" borderId="0" xfId="0" applyNumberFormat="1" applyFont="1" applyFill="1" applyAlignment="1" applyProtection="1">
      <alignment horizontal="center" vertical="center"/>
      <protection hidden="1"/>
    </xf>
    <xf numFmtId="0" fontId="0" fillId="35" borderId="107" xfId="0" applyFill="1" applyBorder="1" applyAlignment="1">
      <alignment horizontal="center" vertical="center" wrapText="1"/>
    </xf>
    <xf numFmtId="0" fontId="0" fillId="35" borderId="108" xfId="0" applyFill="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0" fillId="37" borderId="0" xfId="0" applyFill="1" applyAlignment="1">
      <alignment horizontal="left"/>
    </xf>
    <xf numFmtId="0" fontId="62" fillId="0" borderId="0" xfId="0" applyFont="1" applyAlignment="1">
      <alignment horizontal="left"/>
    </xf>
    <xf numFmtId="180" fontId="0" fillId="4" borderId="8" xfId="0" applyNumberFormat="1" applyFont="1" applyFill="1" applyBorder="1" applyAlignment="1">
      <alignment horizontal="center"/>
    </xf>
    <xf numFmtId="180" fontId="0" fillId="4" borderId="9" xfId="0" applyNumberFormat="1" applyFont="1" applyFill="1" applyBorder="1" applyAlignment="1">
      <alignment horizontal="center"/>
    </xf>
    <xf numFmtId="180" fontId="87" fillId="4" borderId="222" xfId="0" applyNumberFormat="1" applyFont="1" applyFill="1" applyBorder="1" applyAlignment="1" applyProtection="1">
      <alignment horizontal="center" vertical="center" wrapText="1"/>
      <protection locked="0"/>
    </xf>
    <xf numFmtId="180" fontId="87" fillId="4" borderId="221" xfId="0" applyNumberFormat="1" applyFont="1" applyFill="1" applyBorder="1" applyAlignment="1" applyProtection="1">
      <alignment horizontal="center" vertical="center" wrapText="1"/>
      <protection locked="0"/>
    </xf>
    <xf numFmtId="0" fontId="50" fillId="52" borderId="0" xfId="0" applyFont="1" applyFill="1" applyProtection="1">
      <protection hidden="1"/>
    </xf>
    <xf numFmtId="172" fontId="0" fillId="3" borderId="8" xfId="2" applyNumberFormat="1" applyFont="1" applyFill="1" applyBorder="1" applyAlignment="1" applyProtection="1">
      <alignment vertical="center" wrapText="1"/>
      <protection locked="0"/>
    </xf>
    <xf numFmtId="172" fontId="0" fillId="4" borderId="8" xfId="0" applyNumberFormat="1" applyFill="1" applyBorder="1" applyAlignment="1" applyProtection="1">
      <alignment vertical="center" wrapText="1"/>
      <protection locked="0"/>
    </xf>
    <xf numFmtId="0" fontId="0" fillId="37" borderId="0" xfId="0" applyFill="1" applyAlignment="1">
      <alignment vertical="center" wrapText="1"/>
    </xf>
    <xf numFmtId="0" fontId="88" fillId="37" borderId="0" xfId="0" applyFont="1" applyFill="1" applyAlignment="1">
      <alignment vertical="center" wrapText="1"/>
    </xf>
    <xf numFmtId="0" fontId="0" fillId="45" borderId="8" xfId="0" applyFill="1" applyBorder="1" applyAlignment="1" applyProtection="1">
      <alignment horizontal="center" vertical="center" wrapText="1"/>
      <protection locked="0"/>
    </xf>
    <xf numFmtId="0" fontId="0" fillId="37" borderId="4" xfId="0" applyFill="1" applyBorder="1" applyAlignment="1">
      <alignment vertical="center" wrapText="1"/>
    </xf>
    <xf numFmtId="0" fontId="0" fillId="37" borderId="5" xfId="0" applyFill="1" applyBorder="1" applyAlignment="1">
      <alignment vertical="center" wrapText="1"/>
    </xf>
    <xf numFmtId="0" fontId="0" fillId="37" borderId="7" xfId="0" applyFill="1" applyBorder="1" applyAlignment="1">
      <alignment vertical="center" wrapText="1"/>
    </xf>
    <xf numFmtId="0" fontId="0" fillId="37" borderId="8" xfId="0" applyFill="1" applyBorder="1" applyAlignment="1">
      <alignment vertical="center" wrapText="1"/>
    </xf>
    <xf numFmtId="1" fontId="0" fillId="37" borderId="8" xfId="0" applyNumberFormat="1" applyFill="1" applyBorder="1" applyAlignment="1">
      <alignment vertical="center" wrapText="1"/>
    </xf>
    <xf numFmtId="1" fontId="0" fillId="37" borderId="9" xfId="0" applyNumberFormat="1" applyFill="1" applyBorder="1" applyAlignment="1">
      <alignment vertical="center" wrapText="1"/>
    </xf>
    <xf numFmtId="43" fontId="0" fillId="37" borderId="8" xfId="1" applyFont="1" applyFill="1" applyBorder="1" applyAlignment="1">
      <alignment vertical="center" wrapText="1"/>
    </xf>
    <xf numFmtId="43" fontId="0" fillId="37" borderId="9" xfId="1" applyFont="1" applyFill="1" applyBorder="1" applyAlignment="1">
      <alignment vertical="center" wrapText="1"/>
    </xf>
    <xf numFmtId="43" fontId="0" fillId="37" borderId="8" xfId="0" applyNumberFormat="1" applyFill="1" applyBorder="1" applyAlignment="1">
      <alignment vertical="center" wrapText="1"/>
    </xf>
    <xf numFmtId="43" fontId="0" fillId="37" borderId="9" xfId="0" applyNumberFormat="1" applyFill="1" applyBorder="1" applyAlignment="1">
      <alignment vertical="center" wrapText="1"/>
    </xf>
    <xf numFmtId="166" fontId="0" fillId="37" borderId="8" xfId="0" applyNumberFormat="1" applyFill="1" applyBorder="1" applyAlignment="1">
      <alignment vertical="center" wrapText="1"/>
    </xf>
    <xf numFmtId="166" fontId="0" fillId="37" borderId="9" xfId="0" applyNumberFormat="1" applyFill="1" applyBorder="1" applyAlignment="1">
      <alignment vertical="center" wrapText="1"/>
    </xf>
    <xf numFmtId="44" fontId="0" fillId="37" borderId="8" xfId="0" applyNumberFormat="1" applyFill="1" applyBorder="1" applyAlignment="1">
      <alignment vertical="center" wrapText="1"/>
    </xf>
    <xf numFmtId="44" fontId="0" fillId="37" borderId="9" xfId="0" applyNumberFormat="1" applyFill="1" applyBorder="1" applyAlignment="1">
      <alignment vertical="center" wrapText="1"/>
    </xf>
    <xf numFmtId="0" fontId="0" fillId="37" borderId="10" xfId="0" applyFill="1" applyBorder="1" applyAlignment="1">
      <alignment vertical="center" wrapText="1"/>
    </xf>
    <xf numFmtId="0" fontId="0" fillId="37" borderId="11" xfId="0" applyFill="1" applyBorder="1" applyAlignment="1">
      <alignment vertical="center" wrapText="1"/>
    </xf>
    <xf numFmtId="44" fontId="0" fillId="37" borderId="11" xfId="2" applyFont="1" applyFill="1" applyBorder="1" applyAlignment="1">
      <alignment vertical="center" wrapText="1"/>
    </xf>
    <xf numFmtId="44" fontId="0" fillId="37" borderId="12" xfId="2" applyFont="1" applyFill="1" applyBorder="1" applyAlignment="1">
      <alignment vertical="center" wrapText="1"/>
    </xf>
    <xf numFmtId="0" fontId="0" fillId="37" borderId="48" xfId="0" applyFill="1" applyBorder="1" applyAlignment="1">
      <alignment vertical="center" wrapText="1"/>
    </xf>
    <xf numFmtId="0" fontId="0" fillId="37" borderId="62" xfId="0" applyFill="1" applyBorder="1" applyAlignment="1">
      <alignment vertical="center" wrapText="1"/>
    </xf>
    <xf numFmtId="0" fontId="0" fillId="37" borderId="36" xfId="0" applyFill="1" applyBorder="1" applyAlignment="1">
      <alignment vertical="center" wrapText="1"/>
    </xf>
    <xf numFmtId="0" fontId="88" fillId="37" borderId="0" xfId="0" applyFont="1" applyFill="1" applyAlignment="1">
      <alignment horizontal="left" vertical="top"/>
    </xf>
    <xf numFmtId="0" fontId="0" fillId="0" borderId="196"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3" borderId="178" xfId="0" applyFill="1" applyBorder="1" applyAlignment="1" applyProtection="1">
      <alignment vertical="center" wrapText="1"/>
      <protection locked="0"/>
    </xf>
    <xf numFmtId="0" fontId="0" fillId="3" borderId="170" xfId="0" applyFill="1" applyBorder="1" applyAlignment="1" applyProtection="1">
      <alignment vertical="center" wrapText="1"/>
      <protection locked="0"/>
    </xf>
    <xf numFmtId="0" fontId="0" fillId="3" borderId="162" xfId="0" applyFill="1" applyBorder="1" applyAlignment="1" applyProtection="1">
      <alignment vertical="center" wrapText="1"/>
      <protection locked="0"/>
    </xf>
    <xf numFmtId="0" fontId="0" fillId="3" borderId="163" xfId="0" applyFill="1" applyBorder="1" applyAlignment="1" applyProtection="1">
      <alignment vertical="center" wrapText="1"/>
      <protection locked="0"/>
    </xf>
    <xf numFmtId="43" fontId="0" fillId="3" borderId="163" xfId="1" applyFont="1" applyFill="1" applyBorder="1" applyAlignment="1" applyProtection="1">
      <alignment vertical="center" wrapText="1"/>
      <protection locked="0"/>
    </xf>
    <xf numFmtId="166" fontId="0" fillId="4" borderId="162" xfId="1" applyNumberFormat="1" applyFont="1" applyFill="1" applyBorder="1" applyAlignment="1" applyProtection="1">
      <alignment vertical="center" wrapText="1"/>
      <protection locked="0"/>
    </xf>
    <xf numFmtId="166" fontId="0" fillId="4" borderId="163" xfId="1" applyNumberFormat="1" applyFont="1" applyFill="1" applyBorder="1" applyAlignment="1" applyProtection="1">
      <alignment vertical="center" wrapText="1"/>
      <protection locked="0"/>
    </xf>
    <xf numFmtId="9" fontId="0" fillId="3" borderId="162" xfId="3" applyFont="1" applyFill="1" applyBorder="1" applyAlignment="1" applyProtection="1">
      <alignment vertical="center" wrapText="1"/>
      <protection locked="0"/>
    </xf>
    <xf numFmtId="9" fontId="0" fillId="3" borderId="163" xfId="3" applyFont="1" applyFill="1" applyBorder="1" applyAlignment="1" applyProtection="1">
      <alignment vertical="center" wrapText="1"/>
      <protection locked="0"/>
    </xf>
    <xf numFmtId="43" fontId="0" fillId="3" borderId="176" xfId="1" applyFont="1" applyFill="1" applyBorder="1" applyAlignment="1" applyProtection="1">
      <alignment vertical="center" wrapText="1"/>
      <protection locked="0"/>
    </xf>
    <xf numFmtId="43" fontId="0" fillId="3" borderId="160" xfId="1" applyFont="1" applyFill="1" applyBorder="1" applyAlignment="1" applyProtection="1">
      <alignment vertical="center" wrapText="1"/>
      <protection locked="0"/>
    </xf>
    <xf numFmtId="9" fontId="0" fillId="3" borderId="170" xfId="3" applyFont="1" applyFill="1" applyBorder="1" applyAlignment="1" applyProtection="1">
      <alignment vertical="center" wrapText="1"/>
      <protection locked="0"/>
    </xf>
    <xf numFmtId="43" fontId="0" fillId="3" borderId="181" xfId="1" applyFont="1" applyFill="1" applyBorder="1" applyAlignment="1" applyProtection="1">
      <alignment vertical="center" wrapText="1"/>
      <protection locked="0"/>
    </xf>
    <xf numFmtId="0" fontId="0" fillId="3" borderId="177" xfId="0" applyFill="1" applyBorder="1" applyAlignment="1" applyProtection="1">
      <alignment vertical="center" wrapText="1"/>
      <protection locked="0"/>
    </xf>
    <xf numFmtId="43" fontId="0" fillId="3" borderId="170" xfId="1" applyFont="1" applyFill="1" applyBorder="1" applyAlignment="1" applyProtection="1">
      <alignment vertical="center" wrapText="1"/>
      <protection locked="0"/>
    </xf>
    <xf numFmtId="43" fontId="0" fillId="3" borderId="177" xfId="1" applyFont="1" applyFill="1" applyBorder="1" applyAlignment="1" applyProtection="1">
      <alignment vertical="center" wrapText="1"/>
      <protection locked="0"/>
    </xf>
    <xf numFmtId="43" fontId="0" fillId="4" borderId="8" xfId="1" applyNumberFormat="1" applyFont="1" applyFill="1" applyBorder="1" applyAlignment="1" applyProtection="1">
      <alignment vertical="center" wrapText="1"/>
      <protection locked="0"/>
    </xf>
    <xf numFmtId="171" fontId="0" fillId="4" borderId="8" xfId="1" applyNumberFormat="1" applyFont="1" applyFill="1" applyBorder="1" applyAlignment="1" applyProtection="1">
      <alignment vertical="center" wrapText="1"/>
      <protection locked="0"/>
    </xf>
    <xf numFmtId="165" fontId="0" fillId="4" borderId="8" xfId="3" applyNumberFormat="1" applyFont="1" applyFill="1" applyBorder="1" applyAlignment="1" applyProtection="1">
      <alignment vertical="center" wrapText="1"/>
      <protection locked="0"/>
    </xf>
    <xf numFmtId="43" fontId="0" fillId="4" borderId="8" xfId="0" applyNumberFormat="1" applyFill="1" applyBorder="1" applyAlignment="1" applyProtection="1">
      <alignment vertical="center" wrapText="1"/>
      <protection locked="0"/>
    </xf>
    <xf numFmtId="174" fontId="0" fillId="4" borderId="8" xfId="0" applyNumberFormat="1" applyFill="1" applyBorder="1" applyAlignment="1" applyProtection="1">
      <alignment vertical="center" wrapText="1"/>
      <protection locked="0"/>
    </xf>
    <xf numFmtId="167" fontId="0" fillId="4" borderId="8" xfId="0" applyNumberFormat="1" applyFill="1" applyBorder="1" applyAlignment="1" applyProtection="1">
      <alignment vertical="center" wrapText="1"/>
      <protection locked="0"/>
    </xf>
    <xf numFmtId="166" fontId="0" fillId="45" borderId="8" xfId="1" applyNumberFormat="1" applyFont="1" applyFill="1" applyBorder="1" applyAlignment="1" applyProtection="1">
      <alignment vertical="center" wrapText="1"/>
      <protection locked="0"/>
    </xf>
    <xf numFmtId="0" fontId="70" fillId="37" borderId="0" xfId="0" applyFont="1" applyFill="1" applyBorder="1" applyAlignment="1" applyProtection="1">
      <alignment horizontal="left" vertical="center" wrapText="1"/>
      <protection hidden="1"/>
    </xf>
    <xf numFmtId="3" fontId="45" fillId="34" borderId="32" xfId="0" applyNumberFormat="1" applyFont="1" applyFill="1" applyBorder="1" applyAlignment="1" applyProtection="1">
      <alignment horizontal="center" vertical="center" wrapText="1"/>
      <protection hidden="1"/>
    </xf>
    <xf numFmtId="3" fontId="45" fillId="34" borderId="33" xfId="0" applyNumberFormat="1" applyFont="1" applyFill="1" applyBorder="1" applyAlignment="1" applyProtection="1">
      <alignment horizontal="center" vertical="center" wrapText="1"/>
      <protection hidden="1"/>
    </xf>
    <xf numFmtId="3" fontId="45" fillId="34" borderId="34" xfId="0" applyNumberFormat="1" applyFont="1" applyFill="1" applyBorder="1" applyAlignment="1" applyProtection="1">
      <alignment horizontal="center" vertical="center" wrapText="1"/>
      <protection hidden="1"/>
    </xf>
    <xf numFmtId="3" fontId="7" fillId="34" borderId="137" xfId="0" applyNumberFormat="1" applyFont="1" applyFill="1" applyBorder="1" applyAlignment="1" applyProtection="1">
      <alignment horizontal="center" vertical="center" wrapText="1"/>
      <protection locked="0"/>
    </xf>
    <xf numFmtId="3" fontId="7" fillId="34" borderId="0" xfId="0" applyNumberFormat="1" applyFont="1" applyFill="1" applyBorder="1" applyAlignment="1" applyProtection="1">
      <alignment horizontal="center" vertical="center" wrapText="1"/>
      <protection locked="0"/>
    </xf>
    <xf numFmtId="3" fontId="7" fillId="34" borderId="57" xfId="0" applyNumberFormat="1" applyFont="1" applyFill="1" applyBorder="1" applyAlignment="1" applyProtection="1">
      <alignment horizontal="center" vertical="center" wrapText="1"/>
      <protection locked="0"/>
    </xf>
    <xf numFmtId="3" fontId="7" fillId="34" borderId="112" xfId="0" applyNumberFormat="1" applyFont="1" applyFill="1" applyBorder="1" applyAlignment="1" applyProtection="1">
      <alignment horizontal="center" vertical="center" wrapText="1"/>
      <protection locked="0"/>
    </xf>
    <xf numFmtId="3" fontId="7" fillId="34" borderId="114" xfId="0" applyNumberFormat="1" applyFont="1" applyFill="1" applyBorder="1" applyAlignment="1" applyProtection="1">
      <alignment horizontal="center" vertical="center" wrapText="1"/>
      <protection locked="0"/>
    </xf>
    <xf numFmtId="3" fontId="7" fillId="34" borderId="115" xfId="0" applyNumberFormat="1" applyFont="1" applyFill="1" applyBorder="1" applyAlignment="1" applyProtection="1">
      <alignment horizontal="center" vertical="center" wrapText="1"/>
      <protection locked="0"/>
    </xf>
    <xf numFmtId="0" fontId="77" fillId="40" borderId="21" xfId="0" applyFont="1" applyFill="1" applyBorder="1" applyAlignment="1" applyProtection="1">
      <alignment horizontal="center" vertical="center" wrapText="1"/>
      <protection hidden="1"/>
    </xf>
    <xf numFmtId="0" fontId="77" fillId="40" borderId="22" xfId="0" applyFont="1" applyFill="1" applyBorder="1" applyAlignment="1" applyProtection="1">
      <alignment horizontal="center" vertical="center" wrapText="1"/>
      <protection hidden="1"/>
    </xf>
    <xf numFmtId="0" fontId="77" fillId="40" borderId="23" xfId="0" applyFont="1" applyFill="1" applyBorder="1" applyAlignment="1" applyProtection="1">
      <alignment horizontal="center" vertical="center" wrapText="1"/>
      <protection hidden="1"/>
    </xf>
    <xf numFmtId="0" fontId="77" fillId="40" borderId="24" xfId="0" applyFont="1" applyFill="1" applyBorder="1" applyAlignment="1" applyProtection="1">
      <alignment horizontal="center" vertical="center" wrapText="1"/>
      <protection hidden="1"/>
    </xf>
    <xf numFmtId="0" fontId="77" fillId="40" borderId="114" xfId="0" applyFont="1" applyFill="1" applyBorder="1" applyAlignment="1" applyProtection="1">
      <alignment horizontal="center" vertical="center" wrapText="1"/>
      <protection hidden="1"/>
    </xf>
    <xf numFmtId="0" fontId="77" fillId="40" borderId="115" xfId="0" applyFont="1" applyFill="1" applyBorder="1" applyAlignment="1" applyProtection="1">
      <alignment horizontal="center" vertical="center" wrapText="1"/>
      <protection hidden="1"/>
    </xf>
    <xf numFmtId="0" fontId="76" fillId="40" borderId="2" xfId="0" applyFont="1" applyFill="1" applyBorder="1" applyAlignment="1" applyProtection="1">
      <alignment horizontal="left" vertical="center" wrapText="1"/>
      <protection hidden="1"/>
    </xf>
    <xf numFmtId="0" fontId="76" fillId="40" borderId="3" xfId="0" applyFont="1" applyFill="1" applyBorder="1" applyAlignment="1" applyProtection="1">
      <alignment horizontal="left" vertical="center" wrapText="1"/>
      <protection hidden="1"/>
    </xf>
    <xf numFmtId="0" fontId="76" fillId="40" borderId="92" xfId="0" applyFont="1" applyFill="1" applyBorder="1" applyAlignment="1" applyProtection="1">
      <alignment horizontal="left" vertical="center" wrapText="1"/>
      <protection hidden="1"/>
    </xf>
    <xf numFmtId="0" fontId="71" fillId="37" borderId="138" xfId="0" applyFont="1" applyFill="1" applyBorder="1" applyAlignment="1" applyProtection="1">
      <alignment horizontal="left" vertical="center" wrapText="1"/>
      <protection hidden="1"/>
    </xf>
    <xf numFmtId="0" fontId="71" fillId="37" borderId="139" xfId="0" applyFont="1" applyFill="1" applyBorder="1" applyAlignment="1" applyProtection="1">
      <alignment horizontal="left" vertical="center" wrapText="1"/>
      <protection hidden="1"/>
    </xf>
    <xf numFmtId="0" fontId="71" fillId="37" borderId="140" xfId="0" applyFont="1" applyFill="1" applyBorder="1" applyAlignment="1" applyProtection="1">
      <alignment horizontal="left" vertical="center" wrapText="1"/>
      <protection hidden="1"/>
    </xf>
    <xf numFmtId="0" fontId="71" fillId="37" borderId="141" xfId="0" applyFont="1" applyFill="1" applyBorder="1" applyAlignment="1" applyProtection="1">
      <alignment horizontal="left" vertical="center" wrapText="1"/>
      <protection hidden="1"/>
    </xf>
    <xf numFmtId="0" fontId="71" fillId="37" borderId="142" xfId="0" applyFont="1" applyFill="1" applyBorder="1" applyAlignment="1" applyProtection="1">
      <alignment horizontal="left" vertical="center" wrapText="1"/>
      <protection hidden="1"/>
    </xf>
    <xf numFmtId="0" fontId="71" fillId="37" borderId="143" xfId="0" applyFont="1" applyFill="1" applyBorder="1" applyAlignment="1" applyProtection="1">
      <alignment horizontal="left" vertical="center" wrapText="1"/>
      <protection hidden="1"/>
    </xf>
    <xf numFmtId="0" fontId="12" fillId="38" borderId="146" xfId="0" applyFont="1" applyFill="1" applyBorder="1" applyAlignment="1" applyProtection="1">
      <alignment horizontal="center" vertical="center" wrapText="1"/>
      <protection hidden="1"/>
    </xf>
    <xf numFmtId="0" fontId="12" fillId="38" borderId="147" xfId="0" applyFont="1" applyFill="1" applyBorder="1" applyAlignment="1" applyProtection="1">
      <alignment horizontal="center" vertical="center" wrapText="1"/>
      <protection hidden="1"/>
    </xf>
    <xf numFmtId="0" fontId="71" fillId="37" borderId="144" xfId="0" applyFont="1" applyFill="1" applyBorder="1" applyAlignment="1" applyProtection="1">
      <alignment horizontal="left" vertical="center" wrapText="1"/>
      <protection hidden="1"/>
    </xf>
    <xf numFmtId="0" fontId="71" fillId="37" borderId="145" xfId="0" applyFont="1" applyFill="1" applyBorder="1" applyAlignment="1" applyProtection="1">
      <alignment horizontal="left" vertical="center" wrapText="1"/>
      <protection hidden="1"/>
    </xf>
    <xf numFmtId="0" fontId="73" fillId="40" borderId="130" xfId="0" applyFont="1" applyFill="1" applyBorder="1" applyAlignment="1" applyProtection="1">
      <alignment horizontal="center" vertical="center" wrapText="1"/>
      <protection hidden="1"/>
    </xf>
    <xf numFmtId="0" fontId="74" fillId="40" borderId="131" xfId="0" applyFont="1" applyFill="1" applyBorder="1" applyAlignment="1" applyProtection="1">
      <alignment horizontal="center" vertical="center" wrapText="1"/>
      <protection hidden="1"/>
    </xf>
    <xf numFmtId="0" fontId="74" fillId="40" borderId="132" xfId="0" applyFont="1" applyFill="1" applyBorder="1" applyAlignment="1" applyProtection="1">
      <alignment horizontal="center" vertical="center" wrapText="1"/>
      <protection hidden="1"/>
    </xf>
    <xf numFmtId="0" fontId="68" fillId="34" borderId="133" xfId="0" applyFont="1" applyFill="1" applyBorder="1" applyAlignment="1" applyProtection="1">
      <alignment horizontal="center" vertical="center" wrapText="1"/>
      <protection hidden="1"/>
    </xf>
    <xf numFmtId="0" fontId="68" fillId="34" borderId="134" xfId="0" applyFont="1" applyFill="1" applyBorder="1" applyAlignment="1" applyProtection="1">
      <alignment horizontal="center" vertical="center" wrapText="1"/>
      <protection hidden="1"/>
    </xf>
    <xf numFmtId="0" fontId="68" fillId="34" borderId="135" xfId="0" applyFont="1" applyFill="1" applyBorder="1" applyAlignment="1" applyProtection="1">
      <alignment horizontal="center" vertical="center" wrapText="1"/>
      <protection hidden="1"/>
    </xf>
    <xf numFmtId="0" fontId="68" fillId="34" borderId="24" xfId="0" applyFont="1" applyFill="1" applyBorder="1" applyAlignment="1" applyProtection="1">
      <alignment horizontal="center" vertical="center" wrapText="1"/>
      <protection hidden="1"/>
    </xf>
    <xf numFmtId="0" fontId="68" fillId="34" borderId="114" xfId="0" applyFont="1" applyFill="1" applyBorder="1" applyAlignment="1" applyProtection="1">
      <alignment horizontal="center" vertical="center" wrapText="1"/>
      <protection hidden="1"/>
    </xf>
    <xf numFmtId="0" fontId="68" fillId="34" borderId="115" xfId="0" applyFont="1" applyFill="1" applyBorder="1" applyAlignment="1" applyProtection="1">
      <alignment horizontal="center" vertical="center" wrapText="1"/>
      <protection hidden="1"/>
    </xf>
    <xf numFmtId="0" fontId="75" fillId="40" borderId="133" xfId="0" applyFont="1" applyFill="1" applyBorder="1" applyAlignment="1" applyProtection="1">
      <alignment horizontal="center" vertical="center"/>
      <protection hidden="1"/>
    </xf>
    <xf numFmtId="0" fontId="75" fillId="40" borderId="134" xfId="0" applyFont="1" applyFill="1" applyBorder="1" applyAlignment="1" applyProtection="1">
      <alignment horizontal="center" vertical="center"/>
      <protection hidden="1"/>
    </xf>
    <xf numFmtId="0" fontId="75" fillId="40" borderId="134" xfId="0" applyFont="1" applyFill="1" applyBorder="1" applyAlignment="1" applyProtection="1">
      <protection hidden="1"/>
    </xf>
    <xf numFmtId="0" fontId="75" fillId="40" borderId="135" xfId="0" applyFont="1" applyFill="1" applyBorder="1" applyAlignment="1" applyProtection="1">
      <protection hidden="1"/>
    </xf>
    <xf numFmtId="3" fontId="7" fillId="34" borderId="150" xfId="0" applyNumberFormat="1" applyFont="1" applyFill="1" applyBorder="1" applyAlignment="1" applyProtection="1">
      <alignment horizontal="center" vertical="center" wrapText="1"/>
      <protection locked="0"/>
    </xf>
    <xf numFmtId="3" fontId="7" fillId="34" borderId="22" xfId="0" applyNumberFormat="1" applyFont="1" applyFill="1" applyBorder="1" applyAlignment="1" applyProtection="1">
      <alignment horizontal="center" vertical="center" wrapText="1"/>
      <protection locked="0"/>
    </xf>
    <xf numFmtId="3" fontId="7" fillId="34" borderId="23" xfId="0" applyNumberFormat="1" applyFont="1" applyFill="1" applyBorder="1" applyAlignment="1" applyProtection="1">
      <alignment horizontal="center" vertical="center" wrapText="1"/>
      <protection locked="0"/>
    </xf>
    <xf numFmtId="0" fontId="0" fillId="37" borderId="0" xfId="0" applyFill="1" applyAlignment="1" applyProtection="1">
      <alignment horizontal="center" vertical="center" wrapText="1"/>
      <protection hidden="1"/>
    </xf>
    <xf numFmtId="0" fontId="0" fillId="37" borderId="0" xfId="0" applyFill="1" applyAlignment="1" applyProtection="1">
      <alignment horizontal="center"/>
      <protection hidden="1"/>
    </xf>
    <xf numFmtId="0" fontId="0" fillId="37" borderId="57" xfId="0" applyFill="1" applyBorder="1" applyAlignment="1" applyProtection="1">
      <alignment horizontal="center"/>
      <protection hidden="1"/>
    </xf>
    <xf numFmtId="0" fontId="71" fillId="37" borderId="136" xfId="0" applyFont="1" applyFill="1" applyBorder="1" applyAlignment="1" applyProtection="1">
      <alignment horizontal="left" vertical="center" wrapText="1"/>
      <protection hidden="1"/>
    </xf>
    <xf numFmtId="0" fontId="71" fillId="37" borderId="148" xfId="0" applyFont="1" applyFill="1" applyBorder="1" applyAlignment="1" applyProtection="1">
      <alignment horizontal="left" vertical="center" wrapText="1"/>
      <protection hidden="1"/>
    </xf>
    <xf numFmtId="0" fontId="78" fillId="40" borderId="21" xfId="0" applyFont="1" applyFill="1" applyBorder="1" applyAlignment="1">
      <alignment horizontal="center" vertical="center"/>
    </xf>
    <xf numFmtId="0" fontId="79" fillId="40" borderId="23" xfId="0" applyFont="1" applyFill="1" applyBorder="1" applyAlignment="1">
      <alignment horizontal="center" vertical="center"/>
    </xf>
    <xf numFmtId="0" fontId="57" fillId="0" borderId="120" xfId="0" applyFont="1" applyBorder="1" applyAlignment="1">
      <alignment horizontal="left" vertical="center" wrapText="1" indent="1"/>
    </xf>
    <xf numFmtId="0" fontId="57" fillId="0" borderId="122" xfId="0" applyFont="1" applyBorder="1" applyAlignment="1">
      <alignment horizontal="left" vertical="center" wrapText="1" indent="1"/>
    </xf>
    <xf numFmtId="0" fontId="78" fillId="40" borderId="24" xfId="0" applyFont="1" applyFill="1" applyBorder="1" applyAlignment="1">
      <alignment horizontal="center" vertical="center"/>
    </xf>
    <xf numFmtId="0" fontId="79" fillId="40" borderId="26" xfId="0" applyFont="1" applyFill="1" applyBorder="1" applyAlignment="1">
      <alignment horizontal="center" vertical="center"/>
    </xf>
    <xf numFmtId="0" fontId="0" fillId="37" borderId="0" xfId="0" applyFill="1" applyAlignment="1">
      <alignment horizontal="center" vertical="center"/>
    </xf>
    <xf numFmtId="0" fontId="88" fillId="0" borderId="120" xfId="0" applyFont="1" applyBorder="1" applyAlignment="1">
      <alignment horizontal="center" wrapText="1"/>
    </xf>
    <xf numFmtId="0" fontId="88" fillId="0" borderId="121" xfId="0" applyFont="1" applyBorder="1" applyAlignment="1">
      <alignment horizontal="center" wrapText="1"/>
    </xf>
    <xf numFmtId="0" fontId="88" fillId="0" borderId="122" xfId="0" applyFont="1" applyBorder="1" applyAlignment="1">
      <alignment horizontal="center" wrapText="1"/>
    </xf>
    <xf numFmtId="0" fontId="88" fillId="0" borderId="137" xfId="0" applyFont="1" applyBorder="1" applyAlignment="1">
      <alignment horizontal="center" vertical="center" wrapText="1"/>
    </xf>
    <xf numFmtId="0" fontId="87" fillId="0" borderId="137" xfId="0" applyFont="1" applyBorder="1" applyAlignment="1">
      <alignment horizontal="center" vertical="center" wrapText="1"/>
    </xf>
    <xf numFmtId="0" fontId="87" fillId="0" borderId="202" xfId="0" applyFont="1" applyBorder="1" applyAlignment="1">
      <alignment horizontal="center" vertical="center" wrapText="1"/>
    </xf>
    <xf numFmtId="0" fontId="3" fillId="0" borderId="0" xfId="0" applyFont="1" applyAlignment="1">
      <alignment horizontal="left" vertical="center" wrapText="1"/>
    </xf>
    <xf numFmtId="0" fontId="87" fillId="37" borderId="149" xfId="0" applyFont="1" applyFill="1" applyBorder="1" applyAlignment="1">
      <alignment horizontal="left" vertical="center" wrapText="1"/>
    </xf>
    <xf numFmtId="0" fontId="87" fillId="37" borderId="102" xfId="0" applyFont="1" applyFill="1" applyBorder="1" applyAlignment="1">
      <alignment horizontal="left" vertical="center" wrapText="1"/>
    </xf>
    <xf numFmtId="0" fontId="87" fillId="37" borderId="0" xfId="0" applyFont="1" applyFill="1" applyBorder="1" applyAlignment="1">
      <alignment horizontal="left" vertical="center" wrapText="1"/>
    </xf>
    <xf numFmtId="0" fontId="87" fillId="37" borderId="194" xfId="0" applyFont="1" applyFill="1" applyBorder="1" applyAlignment="1">
      <alignment horizontal="left" vertical="center" wrapText="1"/>
    </xf>
    <xf numFmtId="0" fontId="87" fillId="37" borderId="203" xfId="0" applyFont="1" applyFill="1" applyBorder="1" applyAlignment="1">
      <alignment horizontal="left" vertical="center" wrapText="1"/>
    </xf>
    <xf numFmtId="0" fontId="87" fillId="37" borderId="40" xfId="0" applyFont="1" applyFill="1" applyBorder="1" applyAlignment="1">
      <alignment horizontal="left" vertical="center" wrapText="1"/>
    </xf>
    <xf numFmtId="0" fontId="88" fillId="0" borderId="101" xfId="0" applyFont="1" applyBorder="1" applyAlignment="1">
      <alignment horizontal="center" vertical="center" wrapText="1"/>
    </xf>
    <xf numFmtId="0" fontId="0" fillId="0" borderId="0" xfId="0" quotePrefix="1" applyFill="1" applyAlignment="1">
      <alignment horizontal="center"/>
    </xf>
    <xf numFmtId="0" fontId="0" fillId="37" borderId="0" xfId="0" applyFill="1" applyBorder="1" applyAlignment="1">
      <alignment horizontal="center" vertical="center" wrapText="1"/>
    </xf>
    <xf numFmtId="0" fontId="0" fillId="3" borderId="119" xfId="0" applyFill="1" applyBorder="1" applyAlignment="1">
      <alignment horizontal="center" vertical="center" wrapText="1"/>
    </xf>
    <xf numFmtId="0" fontId="0" fillId="45" borderId="119" xfId="0" applyFill="1" applyBorder="1" applyAlignment="1">
      <alignment horizontal="center" vertical="center" wrapText="1"/>
    </xf>
    <xf numFmtId="0" fontId="0" fillId="4" borderId="119" xfId="0" applyFill="1" applyBorder="1" applyAlignment="1">
      <alignment horizontal="center" vertical="center" wrapText="1"/>
    </xf>
    <xf numFmtId="0" fontId="0" fillId="46" borderId="119" xfId="0" applyFill="1" applyBorder="1" applyAlignment="1">
      <alignment horizontal="center" vertical="center" wrapText="1"/>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44" fontId="3" fillId="44" borderId="80" xfId="0" applyNumberFormat="1" applyFont="1" applyFill="1" applyBorder="1" applyAlignment="1">
      <alignment horizontal="center" vertical="center" wrapText="1"/>
    </xf>
    <xf numFmtId="44" fontId="3" fillId="44" borderId="151" xfId="0" applyNumberFormat="1" applyFont="1" applyFill="1" applyBorder="1" applyAlignment="1">
      <alignment horizontal="center" vertical="center" wrapText="1"/>
    </xf>
    <xf numFmtId="44" fontId="3" fillId="44" borderId="28" xfId="0" applyNumberFormat="1" applyFont="1" applyFill="1" applyBorder="1" applyAlignment="1">
      <alignment horizontal="center" vertical="center" wrapText="1"/>
    </xf>
    <xf numFmtId="0" fontId="0" fillId="0" borderId="15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37" borderId="0" xfId="0" applyFill="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88" fillId="0" borderId="2" xfId="0" applyFont="1" applyBorder="1" applyAlignment="1">
      <alignment vertical="center" wrapText="1"/>
    </xf>
    <xf numFmtId="0" fontId="88" fillId="0" borderId="20" xfId="0" applyFont="1" applyBorder="1" applyAlignment="1">
      <alignment vertical="center" wrapText="1"/>
    </xf>
    <xf numFmtId="39" fontId="88" fillId="46" borderId="19" xfId="1" applyNumberFormat="1" applyFont="1" applyFill="1" applyBorder="1" applyAlignment="1">
      <alignment horizontal="center" vertical="center" wrapText="1"/>
    </xf>
    <xf numFmtId="39" fontId="88" fillId="46" borderId="20" xfId="1" applyNumberFormat="1" applyFont="1" applyFill="1" applyBorder="1" applyAlignment="1">
      <alignment horizontal="center" vertical="center" wrapText="1"/>
    </xf>
    <xf numFmtId="0" fontId="88" fillId="0" borderId="13" xfId="0" applyFont="1" applyBorder="1" applyAlignment="1">
      <alignment vertical="center" wrapText="1"/>
    </xf>
    <xf numFmtId="0" fontId="88" fillId="0" borderId="14" xfId="0" applyFont="1" applyBorder="1" applyAlignment="1">
      <alignment vertical="center" wrapText="1"/>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51" borderId="19" xfId="0" applyFont="1" applyFill="1" applyBorder="1" applyAlignment="1">
      <alignment horizontal="center" vertical="center" wrapText="1"/>
    </xf>
    <xf numFmtId="0" fontId="0" fillId="51" borderId="3" xfId="0" applyFont="1" applyFill="1" applyBorder="1" applyAlignment="1">
      <alignment horizontal="center" vertical="center" wrapText="1"/>
    </xf>
    <xf numFmtId="0" fontId="0" fillId="51" borderId="92" xfId="0" applyFont="1" applyFill="1" applyBorder="1" applyAlignment="1">
      <alignment horizontal="center" vertical="center" wrapText="1"/>
    </xf>
    <xf numFmtId="0" fontId="0" fillId="0" borderId="15" xfId="0" applyBorder="1" applyAlignment="1" applyProtection="1">
      <alignment vertical="center" wrapText="1"/>
      <protection locked="0"/>
    </xf>
    <xf numFmtId="0" fontId="0" fillId="0" borderId="99" xfId="0" applyBorder="1" applyAlignment="1" applyProtection="1">
      <alignment vertical="center" wrapText="1"/>
      <protection locked="0"/>
    </xf>
    <xf numFmtId="0" fontId="0" fillId="0" borderId="100" xfId="0" applyBorder="1" applyAlignment="1" applyProtection="1">
      <alignment vertical="center" wrapText="1"/>
      <protection locked="0"/>
    </xf>
    <xf numFmtId="0" fontId="4" fillId="37" borderId="114" xfId="0" applyFont="1" applyFill="1" applyBorder="1" applyAlignment="1">
      <alignment horizontal="left" vertical="center" wrapText="1"/>
    </xf>
    <xf numFmtId="0" fontId="3" fillId="43" borderId="32" xfId="0" applyFont="1" applyFill="1" applyBorder="1" applyAlignment="1">
      <alignment horizontal="center" vertical="center" wrapText="1"/>
    </xf>
    <xf numFmtId="0" fontId="3" fillId="43" borderId="33" xfId="0" applyFont="1" applyFill="1" applyBorder="1" applyAlignment="1">
      <alignment horizontal="center" vertical="center" wrapText="1"/>
    </xf>
    <xf numFmtId="0" fontId="3" fillId="43" borderId="34" xfId="0" applyFont="1" applyFill="1" applyBorder="1" applyAlignment="1">
      <alignment horizontal="center" vertical="center" wrapText="1"/>
    </xf>
    <xf numFmtId="0" fontId="78" fillId="40" borderId="22" xfId="0" applyFont="1" applyFill="1" applyBorder="1" applyAlignment="1">
      <alignment horizontal="center" vertical="center"/>
    </xf>
    <xf numFmtId="0" fontId="78" fillId="40" borderId="23" xfId="0" applyFont="1" applyFill="1" applyBorder="1" applyAlignment="1">
      <alignment horizontal="center" vertical="center"/>
    </xf>
    <xf numFmtId="0" fontId="78" fillId="40" borderId="25" xfId="0" applyFont="1" applyFill="1" applyBorder="1" applyAlignment="1">
      <alignment horizontal="center" vertical="center"/>
    </xf>
    <xf numFmtId="0" fontId="78" fillId="40" borderId="26" xfId="0" applyFont="1" applyFill="1" applyBorder="1" applyAlignment="1">
      <alignment horizontal="center" vertical="center"/>
    </xf>
    <xf numFmtId="0" fontId="0" fillId="45" borderId="5" xfId="0" applyFill="1" applyBorder="1" applyAlignment="1" applyProtection="1">
      <alignment horizontal="center"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45" borderId="8" xfId="0" applyFill="1" applyBorder="1" applyAlignment="1" applyProtection="1">
      <alignment horizontal="center"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37" borderId="149" xfId="0" applyFill="1" applyBorder="1" applyAlignment="1">
      <alignment horizontal="left" vertical="center" wrapText="1"/>
    </xf>
    <xf numFmtId="0" fontId="0" fillId="37" borderId="0" xfId="0" applyFill="1" applyBorder="1" applyAlignment="1">
      <alignment horizontal="left" vertical="center" wrapText="1"/>
    </xf>
    <xf numFmtId="0" fontId="0" fillId="4" borderId="120" xfId="0" applyFill="1" applyBorder="1" applyAlignment="1" applyProtection="1">
      <alignment horizontal="center" vertical="center"/>
      <protection locked="0" hidden="1"/>
    </xf>
    <xf numFmtId="0" fontId="0" fillId="4" borderId="121" xfId="0" applyFill="1" applyBorder="1" applyAlignment="1" applyProtection="1">
      <alignment horizontal="center" vertical="center"/>
      <protection locked="0" hidden="1"/>
    </xf>
    <xf numFmtId="0" fontId="0" fillId="4" borderId="122" xfId="0" applyFill="1" applyBorder="1" applyAlignment="1" applyProtection="1">
      <alignment horizontal="center" vertical="center"/>
      <protection locked="0" hidden="1"/>
    </xf>
    <xf numFmtId="0" fontId="0" fillId="4" borderId="120" xfId="0" applyFill="1" applyBorder="1" applyAlignment="1" applyProtection="1">
      <alignment horizontal="center" vertical="center" wrapText="1"/>
      <protection locked="0" hidden="1"/>
    </xf>
    <xf numFmtId="0" fontId="0" fillId="4" borderId="121" xfId="0" applyFill="1" applyBorder="1" applyAlignment="1" applyProtection="1">
      <alignment horizontal="center" vertical="center" wrapText="1"/>
      <protection locked="0" hidden="1"/>
    </xf>
    <xf numFmtId="0" fontId="0" fillId="4" borderId="122" xfId="0" applyFill="1" applyBorder="1" applyAlignment="1" applyProtection="1">
      <alignment horizontal="center" vertical="center" wrapText="1"/>
      <protection locked="0" hidden="1"/>
    </xf>
    <xf numFmtId="0" fontId="0" fillId="34" borderId="120" xfId="0" applyFill="1" applyBorder="1" applyAlignment="1" applyProtection="1">
      <alignment horizontal="left" vertical="center" wrapText="1"/>
      <protection hidden="1"/>
    </xf>
    <xf numFmtId="0" fontId="0" fillId="34" borderId="121" xfId="0" applyFill="1" applyBorder="1" applyAlignment="1" applyProtection="1">
      <alignment horizontal="left" vertical="center" wrapText="1"/>
      <protection hidden="1"/>
    </xf>
    <xf numFmtId="0" fontId="0" fillId="34" borderId="122" xfId="0" applyFill="1" applyBorder="1" applyAlignment="1" applyProtection="1">
      <alignment horizontal="left" vertical="center" wrapText="1"/>
      <protection hidden="1"/>
    </xf>
    <xf numFmtId="0" fontId="0" fillId="45" borderId="120" xfId="0" applyFill="1" applyBorder="1" applyAlignment="1" applyProtection="1">
      <alignment horizontal="center" vertical="center"/>
      <protection locked="0"/>
    </xf>
    <xf numFmtId="0" fontId="0" fillId="45" borderId="122" xfId="0" applyFill="1" applyBorder="1" applyAlignment="1" applyProtection="1">
      <alignment horizontal="center" vertical="center"/>
      <protection locked="0"/>
    </xf>
    <xf numFmtId="0" fontId="3" fillId="34" borderId="120" xfId="0" applyFont="1" applyFill="1" applyBorder="1" applyAlignment="1" applyProtection="1">
      <alignment horizontal="left" vertical="center"/>
      <protection hidden="1"/>
    </xf>
    <xf numFmtId="0" fontId="0" fillId="34" borderId="121" xfId="0" applyFill="1" applyBorder="1" applyAlignment="1" applyProtection="1">
      <alignment horizontal="left" vertical="center"/>
      <protection hidden="1"/>
    </xf>
    <xf numFmtId="0" fontId="0" fillId="34" borderId="122" xfId="0" applyFill="1" applyBorder="1" applyAlignment="1" applyProtection="1">
      <alignment horizontal="left" vertical="center"/>
      <protection hidden="1"/>
    </xf>
    <xf numFmtId="0" fontId="3" fillId="34" borderId="120" xfId="0" applyFont="1" applyFill="1" applyBorder="1" applyAlignment="1" applyProtection="1">
      <alignment horizontal="left" vertical="center" wrapText="1"/>
      <protection hidden="1"/>
    </xf>
    <xf numFmtId="0" fontId="72" fillId="39" borderId="120" xfId="0" applyFont="1" applyFill="1" applyBorder="1" applyAlignment="1" applyProtection="1">
      <alignment horizontal="left" vertical="center"/>
      <protection hidden="1"/>
    </xf>
    <xf numFmtId="0" fontId="72" fillId="39" borderId="121" xfId="0" applyFont="1" applyFill="1" applyBorder="1" applyAlignment="1" applyProtection="1">
      <alignment horizontal="left" vertical="center"/>
      <protection hidden="1"/>
    </xf>
    <xf numFmtId="0" fontId="72" fillId="39" borderId="122" xfId="0" applyFont="1" applyFill="1" applyBorder="1" applyAlignment="1" applyProtection="1">
      <alignment horizontal="left" vertical="center"/>
      <protection hidden="1"/>
    </xf>
    <xf numFmtId="0" fontId="0" fillId="34" borderId="120" xfId="0" applyFont="1" applyFill="1" applyBorder="1" applyAlignment="1" applyProtection="1">
      <alignment horizontal="left" vertical="center" wrapText="1"/>
      <protection hidden="1"/>
    </xf>
    <xf numFmtId="0" fontId="0" fillId="34" borderId="121" xfId="0" applyFont="1" applyFill="1" applyBorder="1" applyAlignment="1" applyProtection="1">
      <alignment horizontal="left" vertical="center" wrapText="1"/>
      <protection hidden="1"/>
    </xf>
    <xf numFmtId="0" fontId="0" fillId="34" borderId="122" xfId="0" applyFont="1" applyFill="1" applyBorder="1" applyAlignment="1" applyProtection="1">
      <alignment horizontal="left" vertical="center" wrapText="1"/>
      <protection hidden="1"/>
    </xf>
    <xf numFmtId="0" fontId="0" fillId="37" borderId="0" xfId="0" applyFill="1" applyAlignment="1">
      <alignment horizontal="left" wrapText="1"/>
    </xf>
    <xf numFmtId="0" fontId="0" fillId="0" borderId="8" xfId="0" applyBorder="1" applyAlignment="1" applyProtection="1">
      <alignment horizontal="center" vertical="center" wrapText="1"/>
      <protection locked="0"/>
    </xf>
    <xf numFmtId="0" fontId="0" fillId="0" borderId="5" xfId="0" applyBorder="1" applyAlignment="1">
      <alignment vertical="center" wrapText="1"/>
    </xf>
    <xf numFmtId="0" fontId="0" fillId="0" borderId="6" xfId="0" applyBorder="1" applyAlignment="1">
      <alignment vertical="center" wrapText="1"/>
    </xf>
    <xf numFmtId="0" fontId="66" fillId="0" borderId="2" xfId="0" applyFont="1" applyBorder="1" applyAlignment="1">
      <alignment vertical="center" wrapText="1"/>
    </xf>
    <xf numFmtId="0" fontId="66" fillId="0" borderId="3" xfId="0" applyFont="1" applyBorder="1" applyAlignment="1">
      <alignment vertical="center" wrapText="1"/>
    </xf>
    <xf numFmtId="0" fontId="66" fillId="0" borderId="92" xfId="0" applyFont="1" applyBorder="1" applyAlignment="1">
      <alignment vertical="center" wrapText="1"/>
    </xf>
    <xf numFmtId="0" fontId="0" fillId="0" borderId="0" xfId="0" applyAlignment="1">
      <alignment vertical="center" wrapText="1"/>
    </xf>
    <xf numFmtId="0" fontId="5" fillId="0" borderId="2" xfId="0" applyFont="1" applyBorder="1" applyAlignment="1">
      <alignment vertical="center" wrapText="1"/>
    </xf>
    <xf numFmtId="0" fontId="5" fillId="0" borderId="20" xfId="0" applyFont="1" applyBorder="1" applyAlignment="1">
      <alignment vertical="center" wrapText="1"/>
    </xf>
    <xf numFmtId="39" fontId="5" fillId="4" borderId="19" xfId="1" applyNumberFormat="1" applyFont="1" applyFill="1" applyBorder="1" applyAlignment="1">
      <alignment horizontal="center" vertical="center" wrapText="1"/>
    </xf>
    <xf numFmtId="39" fontId="5" fillId="4" borderId="20" xfId="1" applyNumberFormat="1" applyFont="1" applyFill="1" applyBorder="1" applyAlignment="1">
      <alignment horizontal="center"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64" fillId="37" borderId="13" xfId="0" applyFont="1" applyFill="1" applyBorder="1" applyAlignment="1">
      <alignment wrapText="1"/>
    </xf>
    <xf numFmtId="0" fontId="65" fillId="37" borderId="13" xfId="0" applyFont="1" applyFill="1" applyBorder="1" applyAlignment="1">
      <alignment wrapText="1"/>
    </xf>
    <xf numFmtId="0" fontId="65" fillId="37" borderId="14" xfId="0" applyFont="1" applyFill="1" applyBorder="1" applyAlignment="1">
      <alignment wrapText="1"/>
    </xf>
    <xf numFmtId="0" fontId="0" fillId="0" borderId="13"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5" xfId="0" applyBorder="1" applyAlignment="1" applyProtection="1">
      <alignment horizontal="center" vertical="center" wrapText="1"/>
      <protection locked="0"/>
    </xf>
    <xf numFmtId="0" fontId="59" fillId="0" borderId="119" xfId="54" applyFont="1" applyBorder="1" applyAlignment="1">
      <alignment horizontal="center" vertical="center"/>
    </xf>
    <xf numFmtId="0" fontId="59" fillId="0" borderId="54" xfId="54" applyFont="1" applyBorder="1" applyAlignment="1">
      <alignment horizontal="center" vertical="center"/>
    </xf>
    <xf numFmtId="0" fontId="59" fillId="0" borderId="120" xfId="54" applyFont="1" applyBorder="1" applyAlignment="1">
      <alignment horizontal="center" vertical="center"/>
    </xf>
    <xf numFmtId="0" fontId="59" fillId="0" borderId="121" xfId="54" applyFont="1" applyBorder="1" applyAlignment="1">
      <alignment horizontal="center" vertical="center"/>
    </xf>
    <xf numFmtId="0" fontId="59" fillId="0" borderId="122" xfId="54" applyFont="1" applyBorder="1" applyAlignment="1">
      <alignment horizontal="center" vertical="center"/>
    </xf>
    <xf numFmtId="0" fontId="55" fillId="0" borderId="0" xfId="0" applyFont="1" applyAlignment="1">
      <alignment horizontal="center" vertical="center"/>
    </xf>
    <xf numFmtId="0" fontId="58" fillId="0" borderId="0" xfId="0" applyFont="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37" borderId="22" xfId="0" applyFill="1" applyBorder="1" applyAlignment="1">
      <alignment horizontal="center"/>
    </xf>
    <xf numFmtId="0" fontId="0" fillId="37" borderId="0" xfId="0" applyFill="1" applyBorder="1" applyAlignment="1">
      <alignment horizontal="center"/>
    </xf>
    <xf numFmtId="0" fontId="4" fillId="37" borderId="35"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7" borderId="57" xfId="0" applyFont="1" applyFill="1" applyBorder="1" applyAlignment="1">
      <alignment horizontal="left" vertical="center" wrapText="1"/>
    </xf>
    <xf numFmtId="49" fontId="4" fillId="37" borderId="35" xfId="0" applyNumberFormat="1" applyFont="1" applyFill="1" applyBorder="1" applyAlignment="1">
      <alignment horizontal="left" vertical="center" wrapText="1"/>
    </xf>
    <xf numFmtId="49" fontId="4" fillId="37" borderId="0" xfId="0" applyNumberFormat="1" applyFont="1" applyFill="1" applyBorder="1" applyAlignment="1">
      <alignment horizontal="left" vertical="center" wrapText="1"/>
    </xf>
    <xf numFmtId="49" fontId="4" fillId="37" borderId="57" xfId="0" applyNumberFormat="1" applyFont="1" applyFill="1" applyBorder="1" applyAlignment="1">
      <alignment horizontal="left" vertical="center" wrapText="1"/>
    </xf>
    <xf numFmtId="0" fontId="3" fillId="37" borderId="35" xfId="0" applyFont="1" applyFill="1" applyBorder="1" applyAlignment="1">
      <alignment horizontal="left" vertical="center" wrapText="1"/>
    </xf>
    <xf numFmtId="0" fontId="3" fillId="37" borderId="0" xfId="0" applyFont="1" applyFill="1" applyBorder="1" applyAlignment="1">
      <alignment horizontal="left" vertical="center" wrapText="1"/>
    </xf>
    <xf numFmtId="0" fontId="3" fillId="37" borderId="57" xfId="0" applyFont="1" applyFill="1" applyBorder="1" applyAlignment="1">
      <alignment horizontal="left" vertical="center" wrapText="1"/>
    </xf>
    <xf numFmtId="0" fontId="3" fillId="37" borderId="24" xfId="0" applyFont="1" applyFill="1" applyBorder="1" applyAlignment="1">
      <alignment horizontal="left" vertical="center" wrapText="1"/>
    </xf>
    <xf numFmtId="0" fontId="3" fillId="37" borderId="25" xfId="0" applyFont="1" applyFill="1" applyBorder="1" applyAlignment="1">
      <alignment horizontal="left" vertical="center" wrapText="1"/>
    </xf>
    <xf numFmtId="0" fontId="3" fillId="37" borderId="26" xfId="0" applyFont="1" applyFill="1" applyBorder="1" applyAlignment="1">
      <alignment horizontal="left" vertical="center" wrapText="1"/>
    </xf>
    <xf numFmtId="0" fontId="0" fillId="0" borderId="80" xfId="0" applyBorder="1" applyAlignment="1">
      <alignment vertical="center" wrapText="1"/>
    </xf>
    <xf numFmtId="0" fontId="0" fillId="0" borderId="208" xfId="0" applyBorder="1" applyAlignment="1">
      <alignment vertical="center" wrapText="1"/>
    </xf>
    <xf numFmtId="39" fontId="5" fillId="46" borderId="19" xfId="1" applyNumberFormat="1" applyFont="1" applyFill="1" applyBorder="1" applyAlignment="1">
      <alignment horizontal="center" vertical="center" wrapText="1"/>
    </xf>
    <xf numFmtId="39" fontId="5" fillId="46" borderId="20" xfId="1" applyNumberFormat="1" applyFont="1" applyFill="1" applyBorder="1" applyAlignment="1">
      <alignment horizontal="center" vertical="center" wrapText="1"/>
    </xf>
    <xf numFmtId="0" fontId="0" fillId="46" borderId="8" xfId="0" applyFill="1" applyBorder="1" applyAlignment="1" applyProtection="1">
      <alignment horizontal="center" vertical="center" wrapText="1"/>
      <protection locked="0"/>
    </xf>
    <xf numFmtId="0" fontId="81" fillId="41" borderId="21" xfId="0" applyFont="1" applyFill="1" applyBorder="1" applyAlignment="1">
      <alignment horizontal="center" vertical="center"/>
    </xf>
    <xf numFmtId="0" fontId="81" fillId="41" borderId="22" xfId="0" applyFont="1" applyFill="1" applyBorder="1" applyAlignment="1">
      <alignment horizontal="center" vertical="center"/>
    </xf>
    <xf numFmtId="0" fontId="81" fillId="41" borderId="23" xfId="0" applyFont="1" applyFill="1" applyBorder="1" applyAlignment="1">
      <alignment horizontal="center" vertical="center"/>
    </xf>
    <xf numFmtId="0" fontId="81" fillId="41" borderId="24" xfId="0" applyFont="1" applyFill="1" applyBorder="1" applyAlignment="1">
      <alignment horizontal="center" vertical="center"/>
    </xf>
    <xf numFmtId="0" fontId="81" fillId="41" borderId="25" xfId="0" applyFont="1" applyFill="1" applyBorder="1" applyAlignment="1">
      <alignment horizontal="center" vertical="center"/>
    </xf>
    <xf numFmtId="0" fontId="81" fillId="41" borderId="26"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0" fillId="46" borderId="5" xfId="0" applyFill="1" applyBorder="1" applyAlignment="1" applyProtection="1">
      <alignment horizontal="center" vertical="center" wrapText="1"/>
      <protection locked="0"/>
    </xf>
    <xf numFmtId="0" fontId="60" fillId="37" borderId="0" xfId="0" applyFont="1" applyFill="1" applyAlignment="1">
      <alignment horizontal="left" vertical="center" wrapText="1"/>
    </xf>
    <xf numFmtId="0" fontId="82" fillId="37" borderId="114" xfId="0" applyFont="1" applyFill="1" applyBorder="1" applyAlignment="1">
      <alignment horizontal="left" vertical="center" wrapText="1"/>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164" fontId="0" fillId="0" borderId="8" xfId="0" applyNumberFormat="1" applyBorder="1" applyAlignment="1" applyProtection="1">
      <alignment horizontal="center" vertical="center" wrapText="1"/>
      <protection locked="0"/>
    </xf>
    <xf numFmtId="164" fontId="0" fillId="0" borderId="17" xfId="0" applyNumberFormat="1" applyBorder="1" applyAlignment="1" applyProtection="1">
      <alignment horizontal="center" vertical="center" wrapText="1"/>
      <protection locked="0"/>
    </xf>
    <xf numFmtId="164" fontId="0" fillId="0" borderId="18" xfId="0" applyNumberFormat="1" applyBorder="1" applyAlignment="1" applyProtection="1">
      <alignment horizontal="center" vertical="center" wrapText="1"/>
      <protection locked="0"/>
    </xf>
    <xf numFmtId="0" fontId="0" fillId="0" borderId="28" xfId="0" applyBorder="1" applyAlignment="1">
      <alignment vertical="center" wrapText="1"/>
    </xf>
    <xf numFmtId="0" fontId="0" fillId="0" borderId="29" xfId="0" applyBorder="1" applyAlignment="1">
      <alignment vertical="center" wrapText="1"/>
    </xf>
    <xf numFmtId="0" fontId="14" fillId="5" borderId="35" xfId="4" applyFont="1" applyFill="1" applyBorder="1" applyAlignment="1" applyProtection="1">
      <alignment horizontal="center"/>
    </xf>
    <xf numFmtId="0" fontId="7" fillId="0" borderId="0" xfId="4" applyBorder="1" applyAlignment="1" applyProtection="1"/>
    <xf numFmtId="0" fontId="7" fillId="0" borderId="57" xfId="4" applyBorder="1" applyAlignment="1" applyProtection="1"/>
    <xf numFmtId="0" fontId="12" fillId="6" borderId="2" xfId="4" applyFont="1" applyFill="1" applyBorder="1" applyAlignment="1">
      <alignment vertical="center" wrapText="1"/>
    </xf>
    <xf numFmtId="0" fontId="7" fillId="6" borderId="20" xfId="4" applyFill="1" applyBorder="1" applyAlignment="1">
      <alignment vertical="center" wrapText="1"/>
    </xf>
    <xf numFmtId="0" fontId="8" fillId="6" borderId="21" xfId="4" applyFont="1" applyFill="1" applyBorder="1" applyAlignment="1" applyProtection="1">
      <alignment vertical="center" wrapText="1"/>
    </xf>
    <xf numFmtId="0" fontId="7" fillId="6" borderId="37" xfId="4" applyFill="1" applyBorder="1" applyAlignment="1" applyProtection="1">
      <alignment vertical="center" wrapText="1"/>
    </xf>
    <xf numFmtId="0" fontId="7" fillId="6" borderId="39" xfId="4" applyFill="1" applyBorder="1" applyAlignment="1" applyProtection="1">
      <alignment vertical="center" wrapText="1"/>
    </xf>
    <xf numFmtId="0" fontId="7" fillId="6" borderId="40" xfId="4" applyFill="1" applyBorder="1" applyAlignment="1" applyProtection="1">
      <alignment vertical="center" wrapText="1"/>
    </xf>
    <xf numFmtId="0" fontId="7" fillId="6" borderId="24" xfId="4" applyFill="1" applyBorder="1" applyAlignment="1" applyProtection="1">
      <alignment vertical="center" wrapText="1"/>
    </xf>
    <xf numFmtId="0" fontId="7" fillId="6" borderId="49" xfId="4" applyFill="1" applyBorder="1" applyAlignment="1" applyProtection="1">
      <alignment vertical="center" wrapText="1"/>
    </xf>
    <xf numFmtId="0" fontId="14" fillId="5" borderId="2" xfId="4" applyFont="1" applyFill="1" applyBorder="1" applyAlignment="1" applyProtection="1"/>
    <xf numFmtId="0" fontId="7" fillId="5" borderId="3" xfId="4" applyFill="1" applyBorder="1" applyAlignment="1"/>
    <xf numFmtId="0" fontId="14" fillId="5" borderId="21" xfId="4" applyFont="1" applyFill="1" applyBorder="1" applyAlignment="1" applyProtection="1">
      <alignment horizontal="center"/>
    </xf>
    <xf numFmtId="0" fontId="14" fillId="5" borderId="22" xfId="4" applyFont="1" applyFill="1" applyBorder="1" applyAlignment="1" applyProtection="1">
      <alignment horizontal="center"/>
    </xf>
    <xf numFmtId="0" fontId="14" fillId="5" borderId="23" xfId="4" applyFont="1" applyFill="1" applyBorder="1" applyAlignment="1" applyProtection="1">
      <alignment horizontal="center"/>
    </xf>
    <xf numFmtId="0" fontId="0" fillId="37" borderId="35" xfId="0" applyFill="1" applyBorder="1" applyAlignment="1">
      <alignment horizontal="center" vertical="center" wrapText="1"/>
    </xf>
    <xf numFmtId="0" fontId="0" fillId="37" borderId="185" xfId="0" applyFill="1" applyBorder="1" applyAlignment="1">
      <alignment horizontal="center" vertical="center" wrapText="1"/>
    </xf>
    <xf numFmtId="0" fontId="0" fillId="37" borderId="121" xfId="0" applyFill="1" applyBorder="1" applyAlignment="1">
      <alignment horizontal="center" vertical="center" wrapText="1"/>
    </xf>
    <xf numFmtId="0" fontId="0" fillId="37" borderId="186" xfId="0" applyFill="1" applyBorder="1" applyAlignment="1">
      <alignment horizontal="center" vertical="center" wrapText="1"/>
    </xf>
    <xf numFmtId="0" fontId="3" fillId="0" borderId="130" xfId="0" applyFont="1" applyFill="1" applyBorder="1" applyAlignment="1">
      <alignment horizontal="left" vertical="center" wrapText="1"/>
    </xf>
    <xf numFmtId="0" fontId="3" fillId="0" borderId="131" xfId="0" applyFont="1" applyFill="1" applyBorder="1" applyAlignment="1">
      <alignment horizontal="left" vertical="center" wrapText="1"/>
    </xf>
    <xf numFmtId="0" fontId="3" fillId="0" borderId="132" xfId="0" applyFont="1" applyFill="1" applyBorder="1" applyAlignment="1">
      <alignment horizontal="left" vertical="center" wrapText="1"/>
    </xf>
    <xf numFmtId="0" fontId="0" fillId="35" borderId="211" xfId="0" applyFill="1" applyBorder="1" applyAlignment="1">
      <alignment horizontal="center" vertical="center" wrapText="1"/>
    </xf>
    <xf numFmtId="0" fontId="0" fillId="35" borderId="205" xfId="0" applyFill="1" applyBorder="1" applyAlignment="1">
      <alignment horizontal="center" vertical="center" wrapText="1"/>
    </xf>
    <xf numFmtId="0" fontId="0" fillId="35" borderId="212" xfId="0" applyFill="1" applyBorder="1" applyAlignment="1">
      <alignment horizontal="center" vertical="center" wrapText="1"/>
    </xf>
    <xf numFmtId="0" fontId="0" fillId="35" borderId="206" xfId="0" applyFill="1" applyBorder="1" applyAlignment="1">
      <alignment horizontal="center" vertical="center" wrapText="1"/>
    </xf>
    <xf numFmtId="0" fontId="0" fillId="0" borderId="211" xfId="0" applyFill="1" applyBorder="1" applyAlignment="1">
      <alignment horizontal="center" vertical="center" wrapText="1"/>
    </xf>
    <xf numFmtId="0" fontId="0" fillId="0" borderId="205" xfId="0" applyFill="1" applyBorder="1" applyAlignment="1">
      <alignment horizontal="center" vertical="center" wrapText="1"/>
    </xf>
    <xf numFmtId="0" fontId="0" fillId="0" borderId="210" xfId="0" applyFont="1" applyFill="1" applyBorder="1" applyAlignment="1">
      <alignment horizontal="left" vertical="center" wrapText="1"/>
    </xf>
    <xf numFmtId="0" fontId="0" fillId="0" borderId="204" xfId="0" applyFont="1" applyFill="1" applyBorder="1" applyAlignment="1">
      <alignment horizontal="left" vertical="center" wrapText="1"/>
    </xf>
    <xf numFmtId="0" fontId="51" fillId="37" borderId="35" xfId="0" applyFont="1" applyFill="1" applyBorder="1" applyAlignment="1">
      <alignment horizontal="center" wrapText="1"/>
    </xf>
    <xf numFmtId="0" fontId="51" fillId="37" borderId="0" xfId="0" applyFont="1" applyFill="1" applyAlignment="1">
      <alignment horizontal="center" wrapText="1"/>
    </xf>
    <xf numFmtId="0" fontId="87" fillId="37" borderId="185" xfId="0" applyFont="1" applyFill="1" applyBorder="1" applyAlignment="1" applyProtection="1">
      <alignment horizontal="center" vertical="center" wrapText="1"/>
    </xf>
    <xf numFmtId="0" fontId="87" fillId="37" borderId="121" xfId="0" applyFont="1" applyFill="1" applyBorder="1" applyAlignment="1" applyProtection="1">
      <alignment horizontal="center" vertical="center" wrapText="1"/>
    </xf>
    <xf numFmtId="0" fontId="87" fillId="37" borderId="186" xfId="0" applyFont="1" applyFill="1" applyBorder="1" applyAlignment="1" applyProtection="1">
      <alignment horizontal="center" vertical="center" wrapText="1"/>
    </xf>
    <xf numFmtId="0" fontId="88" fillId="0" borderId="2" xfId="0" applyFont="1" applyFill="1" applyBorder="1" applyAlignment="1">
      <alignment horizontal="left" vertical="center" wrapText="1"/>
    </xf>
    <xf numFmtId="0" fontId="88" fillId="0" borderId="3" xfId="0" applyFont="1" applyFill="1" applyBorder="1" applyAlignment="1">
      <alignment horizontal="left" vertical="center" wrapText="1"/>
    </xf>
    <xf numFmtId="0" fontId="88" fillId="0" borderId="92" xfId="0" applyFont="1" applyFill="1" applyBorder="1" applyAlignment="1">
      <alignment horizontal="left" vertical="center" wrapText="1"/>
    </xf>
    <xf numFmtId="0" fontId="96" fillId="0" borderId="2" xfId="0" applyFont="1" applyFill="1" applyBorder="1" applyAlignment="1">
      <alignment vertical="center" wrapText="1"/>
    </xf>
    <xf numFmtId="0" fontId="51" fillId="0" borderId="20" xfId="0" applyFont="1" applyFill="1" applyBorder="1" applyAlignment="1">
      <alignment vertical="center" wrapText="1"/>
    </xf>
    <xf numFmtId="0" fontId="88" fillId="42" borderId="2" xfId="0" applyFont="1" applyFill="1" applyBorder="1" applyAlignment="1" applyProtection="1">
      <alignment horizontal="left" vertical="center" wrapText="1"/>
    </xf>
    <xf numFmtId="0" fontId="88" fillId="42" borderId="20" xfId="0" applyFont="1" applyFill="1" applyBorder="1" applyAlignment="1" applyProtection="1">
      <alignment horizontal="left" vertical="center" wrapText="1"/>
    </xf>
    <xf numFmtId="0" fontId="7" fillId="37" borderId="35" xfId="0" applyFont="1" applyFill="1" applyBorder="1" applyAlignment="1" applyProtection="1">
      <alignment horizontal="center" vertical="center" wrapText="1"/>
      <protection locked="0"/>
    </xf>
    <xf numFmtId="0" fontId="7" fillId="37" borderId="0" xfId="0" applyFont="1" applyFill="1" applyBorder="1" applyAlignment="1" applyProtection="1">
      <alignment horizontal="center" vertical="center" wrapText="1"/>
      <protection locked="0"/>
    </xf>
    <xf numFmtId="0" fontId="87" fillId="35" borderId="150" xfId="0" applyFont="1" applyFill="1" applyBorder="1" applyAlignment="1" applyProtection="1">
      <alignment horizontal="center" vertical="center" wrapText="1"/>
      <protection locked="0"/>
    </xf>
    <xf numFmtId="0" fontId="87" fillId="35" borderId="202" xfId="0" applyFont="1" applyFill="1" applyBorder="1" applyAlignment="1" applyProtection="1">
      <alignment horizontal="center" vertical="center" wrapText="1"/>
      <protection locked="0"/>
    </xf>
    <xf numFmtId="0" fontId="87" fillId="35" borderId="81" xfId="0" applyFont="1" applyFill="1" applyBorder="1" applyAlignment="1" applyProtection="1">
      <alignment horizontal="center" vertical="center" wrapText="1"/>
      <protection locked="0"/>
    </xf>
    <xf numFmtId="0" fontId="87" fillId="35" borderId="129" xfId="0" applyFont="1" applyFill="1" applyBorder="1" applyAlignment="1" applyProtection="1">
      <alignment horizontal="center" vertical="center" wrapText="1"/>
      <protection locked="0"/>
    </xf>
    <xf numFmtId="0" fontId="0" fillId="0" borderId="21" xfId="0" applyFill="1" applyBorder="1" applyAlignment="1">
      <alignment horizontal="left" vertical="center" wrapText="1"/>
    </xf>
    <xf numFmtId="0" fontId="0" fillId="0" borderId="39" xfId="0" applyFill="1" applyBorder="1" applyAlignment="1">
      <alignment horizontal="left" vertical="center" wrapText="1"/>
    </xf>
    <xf numFmtId="0" fontId="0" fillId="0" borderId="218" xfId="0" applyFill="1" applyBorder="1" applyAlignment="1">
      <alignment horizontal="center" vertical="center" wrapText="1"/>
    </xf>
    <xf numFmtId="0" fontId="0" fillId="0" borderId="54" xfId="0" applyFill="1" applyBorder="1" applyAlignment="1">
      <alignment horizontal="center" vertical="center" wrapText="1"/>
    </xf>
    <xf numFmtId="0" fontId="85" fillId="37" borderId="0" xfId="0" applyFont="1" applyFill="1" applyAlignment="1">
      <alignment horizontal="center" vertical="center"/>
    </xf>
    <xf numFmtId="0" fontId="3" fillId="37" borderId="121" xfId="0" applyFont="1" applyFill="1" applyBorder="1" applyAlignment="1">
      <alignment vertical="center" wrapText="1"/>
    </xf>
    <xf numFmtId="0" fontId="0" fillId="37" borderId="121" xfId="0" applyFill="1" applyBorder="1" applyAlignment="1">
      <alignment vertical="center" wrapText="1"/>
    </xf>
    <xf numFmtId="0" fontId="0" fillId="37" borderId="101" xfId="0" applyFill="1" applyBorder="1" applyAlignment="1">
      <alignment horizontal="left" vertical="center" wrapText="1" indent="1"/>
    </xf>
    <xf numFmtId="0" fontId="0" fillId="37" borderId="149" xfId="0" applyFill="1" applyBorder="1" applyAlignment="1">
      <alignment horizontal="left" vertical="center" wrapText="1" indent="1"/>
    </xf>
    <xf numFmtId="0" fontId="0" fillId="37" borderId="102" xfId="0" applyFill="1" applyBorder="1" applyAlignment="1">
      <alignment horizontal="left" vertical="center" wrapText="1" indent="1"/>
    </xf>
    <xf numFmtId="0" fontId="0" fillId="37" borderId="202" xfId="0" applyFill="1" applyBorder="1" applyAlignment="1">
      <alignment horizontal="left" vertical="center" wrapText="1" indent="1"/>
    </xf>
    <xf numFmtId="0" fontId="0" fillId="37" borderId="203" xfId="0" applyFill="1" applyBorder="1" applyAlignment="1">
      <alignment horizontal="left" vertical="center" wrapText="1" indent="1"/>
    </xf>
    <xf numFmtId="0" fontId="0" fillId="37" borderId="40" xfId="0" applyFill="1" applyBorder="1" applyAlignment="1">
      <alignment horizontal="left" vertical="center" wrapText="1" indent="1"/>
    </xf>
    <xf numFmtId="0" fontId="7" fillId="0" borderId="90" xfId="0" applyFont="1" applyFill="1" applyBorder="1" applyAlignment="1" applyProtection="1">
      <alignment horizontal="left" vertical="center" wrapText="1" indent="2"/>
      <protection hidden="1"/>
    </xf>
    <xf numFmtId="0" fontId="0" fillId="0" borderId="24" xfId="0" applyBorder="1" applyAlignment="1">
      <alignment horizontal="left" vertical="center" wrapText="1" indent="2"/>
    </xf>
    <xf numFmtId="44" fontId="7" fillId="46" borderId="124" xfId="2" applyFont="1" applyFill="1" applyBorder="1" applyAlignment="1" applyProtection="1">
      <alignment horizontal="center" vertical="center" wrapText="1"/>
      <protection locked="0"/>
    </xf>
    <xf numFmtId="0" fontId="0" fillId="46" borderId="36" xfId="0" applyFill="1" applyBorder="1" applyAlignment="1">
      <alignment horizontal="center" vertical="center" wrapText="1"/>
    </xf>
    <xf numFmtId="0" fontId="45" fillId="37" borderId="2" xfId="0" applyFont="1" applyFill="1" applyBorder="1" applyAlignment="1" applyProtection="1">
      <alignment horizontal="right" vertical="center" wrapText="1"/>
      <protection hidden="1"/>
    </xf>
    <xf numFmtId="0" fontId="0" fillId="37" borderId="20" xfId="0" applyFill="1" applyBorder="1" applyAlignment="1">
      <alignment horizontal="right" vertical="center" wrapText="1"/>
    </xf>
    <xf numFmtId="0" fontId="0" fillId="0" borderId="91" xfId="0" applyBorder="1" applyAlignment="1">
      <alignment horizontal="left" vertical="center" wrapText="1" indent="2"/>
    </xf>
    <xf numFmtId="44" fontId="7" fillId="46" borderId="191" xfId="2" applyFont="1" applyFill="1" applyBorder="1" applyAlignment="1" applyProtection="1">
      <alignment horizontal="center" vertical="center" wrapText="1"/>
      <protection locked="0"/>
    </xf>
    <xf numFmtId="0" fontId="0" fillId="46" borderId="129" xfId="0" applyFill="1" applyBorder="1" applyAlignment="1">
      <alignment horizontal="center" vertical="center" wrapText="1"/>
    </xf>
    <xf numFmtId="0" fontId="0" fillId="37" borderId="137" xfId="0" applyFill="1" applyBorder="1" applyAlignment="1">
      <alignment horizontal="left" vertical="center" wrapText="1"/>
    </xf>
    <xf numFmtId="0" fontId="0" fillId="37" borderId="194" xfId="0" applyFill="1" applyBorder="1" applyAlignment="1">
      <alignment horizontal="left" vertical="center" wrapText="1"/>
    </xf>
    <xf numFmtId="0" fontId="0" fillId="46" borderId="124" xfId="0"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92" xfId="0" applyBorder="1" applyAlignment="1">
      <alignment horizontal="center" vertical="center" wrapText="1"/>
    </xf>
    <xf numFmtId="0" fontId="3"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92" xfId="0" applyFill="1"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wrapText="1"/>
    </xf>
    <xf numFmtId="0" fontId="82" fillId="37" borderId="0" xfId="0" applyFont="1" applyFill="1" applyAlignment="1">
      <alignment horizontal="center" vertical="center"/>
    </xf>
    <xf numFmtId="0" fontId="3" fillId="0" borderId="119" xfId="0" applyFont="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left" vertical="center" wrapText="1" indent="1"/>
    </xf>
    <xf numFmtId="0" fontId="0" fillId="0" borderId="121" xfId="0" applyBorder="1" applyAlignment="1">
      <alignment horizontal="left" vertical="center" wrapText="1" indent="1"/>
    </xf>
    <xf numFmtId="0" fontId="0" fillId="0" borderId="122" xfId="0" applyBorder="1" applyAlignment="1">
      <alignment horizontal="left" vertical="center" wrapText="1" indent="1"/>
    </xf>
    <xf numFmtId="0" fontId="0" fillId="37" borderId="0" xfId="0" applyFill="1" applyAlignment="1">
      <alignment horizontal="left" vertical="center" wrapText="1"/>
    </xf>
    <xf numFmtId="0" fontId="99" fillId="34" borderId="130" xfId="54" applyFont="1" applyFill="1" applyBorder="1" applyAlignment="1" applyProtection="1">
      <alignment horizontal="center" vertical="center"/>
      <protection hidden="1"/>
    </xf>
    <xf numFmtId="0" fontId="99" fillId="34" borderId="131" xfId="54" applyFont="1" applyFill="1" applyBorder="1" applyAlignment="1" applyProtection="1">
      <alignment horizontal="center" vertical="center"/>
      <protection hidden="1"/>
    </xf>
    <xf numFmtId="0" fontId="99" fillId="34" borderId="131" xfId="54" applyFont="1" applyFill="1" applyBorder="1" applyAlignment="1" applyProtection="1">
      <protection hidden="1"/>
    </xf>
    <xf numFmtId="0" fontId="99" fillId="34" borderId="132" xfId="54" applyFont="1" applyFill="1" applyBorder="1" applyAlignment="1" applyProtection="1">
      <protection hidden="1"/>
    </xf>
  </cellXfs>
  <cellStyles count="59">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xfId="1" builtinId="3"/>
    <cellStyle name="Comma 2" xfId="5" xr:uid="{00000000-0005-0000-0000-00001C000000}"/>
    <cellStyle name="Comma 3" xfId="33" xr:uid="{00000000-0005-0000-0000-00001D000000}"/>
    <cellStyle name="Comma 4" xfId="34" xr:uid="{00000000-0005-0000-0000-00001E000000}"/>
    <cellStyle name="Currency" xfId="2" builtinId="4"/>
    <cellStyle name="Currency 2"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54" builtinId="8"/>
    <cellStyle name="Hyperlink 2" xfId="42" xr:uid="{00000000-0005-0000-0000-000028000000}"/>
    <cellStyle name="Input 2" xfId="43" xr:uid="{00000000-0005-0000-0000-000029000000}"/>
    <cellStyle name="Linked Cell 2" xfId="44" xr:uid="{00000000-0005-0000-0000-00002A000000}"/>
    <cellStyle name="Neutral 2" xfId="45" xr:uid="{00000000-0005-0000-0000-00002B000000}"/>
    <cellStyle name="Normal" xfId="0" builtinId="0"/>
    <cellStyle name="Normal 2" xfId="4" xr:uid="{00000000-0005-0000-0000-00002D000000}"/>
    <cellStyle name="Normal 2 2" xfId="57" xr:uid="{00000000-0005-0000-0000-000001000000}"/>
    <cellStyle name="Normal 3" xfId="46" xr:uid="{00000000-0005-0000-0000-00002E000000}"/>
    <cellStyle name="Normal 3 2" xfId="47" xr:uid="{00000000-0005-0000-0000-00002F000000}"/>
    <cellStyle name="Normal 3 3" xfId="58" xr:uid="{00000000-0005-0000-0000-000002000000}"/>
    <cellStyle name="Normal 4" xfId="55" xr:uid="{00000000-0005-0000-0000-000063000000}"/>
    <cellStyle name="Normal 5" xfId="56" xr:uid="{00000000-0005-0000-0000-000064000000}"/>
    <cellStyle name="Note 2" xfId="48" xr:uid="{00000000-0005-0000-0000-000030000000}"/>
    <cellStyle name="Output 2" xfId="49" xr:uid="{00000000-0005-0000-0000-000031000000}"/>
    <cellStyle name="Percent" xfId="3" builtinId="5"/>
    <cellStyle name="Percent 2" xfId="50" xr:uid="{00000000-0005-0000-0000-000033000000}"/>
    <cellStyle name="Title 2" xfId="51" xr:uid="{00000000-0005-0000-0000-000034000000}"/>
    <cellStyle name="Total 2" xfId="52" xr:uid="{00000000-0005-0000-0000-000035000000}"/>
    <cellStyle name="Warning Text 2" xfId="53" xr:uid="{00000000-0005-0000-0000-000036000000}"/>
  </cellStyles>
  <dxfs count="60">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dxf>
  </dxfs>
  <tableStyles count="0" defaultTableStyle="TableStyleMedium2" defaultPivotStyle="PivotStyleLight16"/>
  <colors>
    <mruColors>
      <color rgb="FF0033CC"/>
      <color rgb="FFFFFFCC"/>
      <color rgb="FFFEBEBE"/>
      <color rgb="FF3416EA"/>
      <color rgb="FFFEDAF6"/>
      <color rgb="FFCCFFFF"/>
      <color rgb="FF99FFCC"/>
      <color rgb="FFCC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3777320500191"/>
          <c:y val="5.2291814528516105E-2"/>
          <c:w val="0.85453787952058213"/>
          <c:h val="0.77548624680160971"/>
        </c:manualLayout>
      </c:layout>
      <c:barChart>
        <c:barDir val="col"/>
        <c:grouping val="clustered"/>
        <c:varyColors val="0"/>
        <c:ser>
          <c:idx val="0"/>
          <c:order val="0"/>
          <c:invertIfNegative val="0"/>
          <c:cat>
            <c:multiLvlStrRef>
              <c:f>'Cost Report'!$B$26:$C$35</c:f>
              <c:multiLvlStrCache>
                <c:ptCount val="10"/>
                <c:lvl>
                  <c:pt idx="0">
                    <c:v> $/ton </c:v>
                  </c:pt>
                  <c:pt idx="1">
                    <c:v> $/ton </c:v>
                  </c:pt>
                  <c:pt idx="2">
                    <c:v> $/ton </c:v>
                  </c:pt>
                  <c:pt idx="3">
                    <c:v> $/ton </c:v>
                  </c:pt>
                  <c:pt idx="4">
                    <c:v> $/ton </c:v>
                  </c:pt>
                  <c:pt idx="5">
                    <c:v> $/ton </c:v>
                  </c:pt>
                  <c:pt idx="6">
                    <c:v> $/ton </c:v>
                  </c:pt>
                  <c:pt idx="7">
                    <c:v> $/ton </c:v>
                  </c:pt>
                  <c:pt idx="8">
                    <c:v> $/ton </c:v>
                  </c:pt>
                  <c:pt idx="9">
                    <c:v> $/ton </c:v>
                  </c:pt>
                </c:lvl>
                <c:lvl>
                  <c:pt idx="0">
                    <c:v>Fuel energy </c:v>
                  </c:pt>
                  <c:pt idx="1">
                    <c:v>Electric energy </c:v>
                  </c:pt>
                  <c:pt idx="2">
                    <c:v>Aux. Equipment </c:v>
                  </c:pt>
                  <c:pt idx="3">
                    <c:v>Other utilities </c:v>
                  </c:pt>
                  <c:pt idx="4">
                    <c:v>O &amp; M </c:v>
                  </c:pt>
                  <c:pt idx="5">
                    <c:v>Labor + related</c:v>
                  </c:pt>
                  <c:pt idx="6">
                    <c:v>Product loss</c:v>
                  </c:pt>
                  <c:pt idx="7">
                    <c:v>Other material </c:v>
                  </c:pt>
                  <c:pt idx="8">
                    <c:v>Equipment amortization </c:v>
                  </c:pt>
                  <c:pt idx="9">
                    <c:v>Other </c:v>
                  </c:pt>
                </c:lvl>
              </c:multiLvlStrCache>
            </c:multiLvlStrRef>
          </c:cat>
          <c:val>
            <c:numRef>
              <c:f>'Cost Report'!$D$26:$D$35</c:f>
              <c:numCache>
                <c:formatCode>_("$"* #,##0.00000_);_("$"* \(#,##0.00000\);_("$"* "-"??_);_(@_)</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F6-4EFB-AAF3-D910580ED84A}"/>
            </c:ext>
          </c:extLst>
        </c:ser>
        <c:ser>
          <c:idx val="1"/>
          <c:order val="1"/>
          <c:invertIfNegative val="0"/>
          <c:cat>
            <c:multiLvlStrRef>
              <c:f>'Cost Report'!$B$26:$C$35</c:f>
              <c:multiLvlStrCache>
                <c:ptCount val="10"/>
                <c:lvl>
                  <c:pt idx="0">
                    <c:v> $/ton </c:v>
                  </c:pt>
                  <c:pt idx="1">
                    <c:v> $/ton </c:v>
                  </c:pt>
                  <c:pt idx="2">
                    <c:v> $/ton </c:v>
                  </c:pt>
                  <c:pt idx="3">
                    <c:v> $/ton </c:v>
                  </c:pt>
                  <c:pt idx="4">
                    <c:v> $/ton </c:v>
                  </c:pt>
                  <c:pt idx="5">
                    <c:v> $/ton </c:v>
                  </c:pt>
                  <c:pt idx="6">
                    <c:v> $/ton </c:v>
                  </c:pt>
                  <c:pt idx="7">
                    <c:v> $/ton </c:v>
                  </c:pt>
                  <c:pt idx="8">
                    <c:v> $/ton </c:v>
                  </c:pt>
                  <c:pt idx="9">
                    <c:v> $/ton </c:v>
                  </c:pt>
                </c:lvl>
                <c:lvl>
                  <c:pt idx="0">
                    <c:v>Fuel energy </c:v>
                  </c:pt>
                  <c:pt idx="1">
                    <c:v>Electric energy </c:v>
                  </c:pt>
                  <c:pt idx="2">
                    <c:v>Aux. Equipment </c:v>
                  </c:pt>
                  <c:pt idx="3">
                    <c:v>Other utilities </c:v>
                  </c:pt>
                  <c:pt idx="4">
                    <c:v>O &amp; M </c:v>
                  </c:pt>
                  <c:pt idx="5">
                    <c:v>Labor + related</c:v>
                  </c:pt>
                  <c:pt idx="6">
                    <c:v>Product loss</c:v>
                  </c:pt>
                  <c:pt idx="7">
                    <c:v>Other material </c:v>
                  </c:pt>
                  <c:pt idx="8">
                    <c:v>Equipment amortization </c:v>
                  </c:pt>
                  <c:pt idx="9">
                    <c:v>Other </c:v>
                  </c:pt>
                </c:lvl>
              </c:multiLvlStrCache>
            </c:multiLvlStrRef>
          </c:cat>
          <c:val>
            <c:numRef>
              <c:f>'Cost Report'!$E$26:$E$35</c:f>
              <c:numCache>
                <c:formatCode>_("$"* #,##0.00000_);_("$"* \(#,##0.00000\);_("$"*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F6-4EFB-AAF3-D910580ED84A}"/>
            </c:ext>
          </c:extLst>
        </c:ser>
        <c:dLbls>
          <c:showLegendKey val="0"/>
          <c:showVal val="0"/>
          <c:showCatName val="0"/>
          <c:showSerName val="0"/>
          <c:showPercent val="0"/>
          <c:showBubbleSize val="0"/>
        </c:dLbls>
        <c:gapWidth val="150"/>
        <c:axId val="284258688"/>
        <c:axId val="284260608"/>
      </c:barChart>
      <c:catAx>
        <c:axId val="284258688"/>
        <c:scaling>
          <c:orientation val="minMax"/>
        </c:scaling>
        <c:delete val="0"/>
        <c:axPos val="b"/>
        <c:numFmt formatCode="General" sourceLinked="0"/>
        <c:majorTickMark val="out"/>
        <c:minorTickMark val="none"/>
        <c:tickLblPos val="nextTo"/>
        <c:txPr>
          <a:bodyPr/>
          <a:lstStyle/>
          <a:p>
            <a:pPr>
              <a:defRPr sz="800" b="1"/>
            </a:pPr>
            <a:endParaRPr lang="en-US"/>
          </a:p>
        </c:txPr>
        <c:crossAx val="284260608"/>
        <c:crosses val="autoZero"/>
        <c:auto val="0"/>
        <c:lblAlgn val="ctr"/>
        <c:lblOffset val="100"/>
        <c:noMultiLvlLbl val="0"/>
      </c:catAx>
      <c:valAx>
        <c:axId val="284260608"/>
        <c:scaling>
          <c:orientation val="minMax"/>
        </c:scaling>
        <c:delete val="0"/>
        <c:axPos val="l"/>
        <c:majorGridlines/>
        <c:title>
          <c:tx>
            <c:rich>
              <a:bodyPr rot="-5400000" vert="horz"/>
              <a:lstStyle/>
              <a:p>
                <a:pPr>
                  <a:defRPr/>
                </a:pPr>
                <a:r>
                  <a:rPr lang="en-US"/>
                  <a:t>$/ton</a:t>
                </a:r>
              </a:p>
            </c:rich>
          </c:tx>
          <c:overlay val="0"/>
        </c:title>
        <c:numFmt formatCode="_(&quot;$&quot;* #,##0.00000_);_(&quot;$&quot;* \(#,##0.00000\);_(&quot;$&quot;* &quot;-&quot;??_);_(@_)" sourceLinked="1"/>
        <c:majorTickMark val="out"/>
        <c:minorTickMark val="none"/>
        <c:tickLblPos val="nextTo"/>
        <c:crossAx val="28425868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solidFill>
                <a:schemeClr val="accent1"/>
              </a:solidFill>
            </a:ln>
          </c:spPr>
          <c:dPt>
            <c:idx val="0"/>
            <c:bubble3D val="0"/>
            <c:spPr>
              <a:solidFill>
                <a:srgbClr val="FFFFFF"/>
              </a:solidFill>
              <a:ln>
                <a:solidFill>
                  <a:schemeClr val="accent1"/>
                </a:solidFill>
              </a:ln>
            </c:spPr>
            <c:extLst>
              <c:ext xmlns:c16="http://schemas.microsoft.com/office/drawing/2014/chart" uri="{C3380CC4-5D6E-409C-BE32-E72D297353CC}">
                <c16:uniqueId val="{00000001-5FDE-484B-886E-CB7FE88CF988}"/>
              </c:ext>
            </c:extLst>
          </c:dPt>
          <c:dPt>
            <c:idx val="6"/>
            <c:bubble3D val="0"/>
            <c:spPr>
              <a:solidFill>
                <a:srgbClr val="FFFFCC"/>
              </a:solidFill>
              <a:ln>
                <a:solidFill>
                  <a:schemeClr val="accent1"/>
                </a:solidFill>
              </a:ln>
            </c:spPr>
            <c:extLst>
              <c:ext xmlns:c16="http://schemas.microsoft.com/office/drawing/2014/chart" uri="{C3380CC4-5D6E-409C-BE32-E72D297353CC}">
                <c16:uniqueId val="{00000003-5FDE-484B-886E-CB7FE88CF988}"/>
              </c:ext>
            </c:extLst>
          </c:dPt>
          <c:dLbls>
            <c:dLbl>
              <c:idx val="0"/>
              <c:layout>
                <c:manualLayout>
                  <c:x val="-0.23700684989627133"/>
                  <c:y val="3.92108353736389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DE-484B-886E-CB7FE88CF988}"/>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multiLvlStrRef>
              <c:f>'Cost Report'!$B$26:$C$35</c:f>
              <c:multiLvlStrCache>
                <c:ptCount val="10"/>
                <c:lvl>
                  <c:pt idx="0">
                    <c:v> $/ton </c:v>
                  </c:pt>
                  <c:pt idx="1">
                    <c:v> $/ton </c:v>
                  </c:pt>
                  <c:pt idx="2">
                    <c:v> $/ton </c:v>
                  </c:pt>
                  <c:pt idx="3">
                    <c:v> $/ton </c:v>
                  </c:pt>
                  <c:pt idx="4">
                    <c:v> $/ton </c:v>
                  </c:pt>
                  <c:pt idx="5">
                    <c:v> $/ton </c:v>
                  </c:pt>
                  <c:pt idx="6">
                    <c:v> $/ton </c:v>
                  </c:pt>
                  <c:pt idx="7">
                    <c:v> $/ton </c:v>
                  </c:pt>
                  <c:pt idx="8">
                    <c:v> $/ton </c:v>
                  </c:pt>
                  <c:pt idx="9">
                    <c:v> $/ton </c:v>
                  </c:pt>
                </c:lvl>
                <c:lvl>
                  <c:pt idx="0">
                    <c:v>Fuel energy </c:v>
                  </c:pt>
                  <c:pt idx="1">
                    <c:v>Electric energy </c:v>
                  </c:pt>
                  <c:pt idx="2">
                    <c:v>Aux. Equipment </c:v>
                  </c:pt>
                  <c:pt idx="3">
                    <c:v>Other utilities </c:v>
                  </c:pt>
                  <c:pt idx="4">
                    <c:v>O &amp; M </c:v>
                  </c:pt>
                  <c:pt idx="5">
                    <c:v>Labor + related</c:v>
                  </c:pt>
                  <c:pt idx="6">
                    <c:v>Product loss</c:v>
                  </c:pt>
                  <c:pt idx="7">
                    <c:v>Other material </c:v>
                  </c:pt>
                  <c:pt idx="8">
                    <c:v>Equipment amortization </c:v>
                  </c:pt>
                  <c:pt idx="9">
                    <c:v>Other </c:v>
                  </c:pt>
                </c:lvl>
              </c:multiLvlStrCache>
            </c:multiLvlStrRef>
          </c:cat>
          <c:val>
            <c:numRef>
              <c:f>'Cost Report'!$D$26:$D$35</c:f>
              <c:numCache>
                <c:formatCode>_("$"* #,##0.00000_);_("$"* \(#,##0.00000\);_("$"* "-"??_);_(@_)</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FDE-484B-886E-CB7FE88CF988}"/>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08680037096318"/>
          <c:y val="0.21781297224210613"/>
          <c:w val="0.45656418629799517"/>
          <c:h val="0.70307048016056817"/>
        </c:manualLayout>
      </c:layout>
      <c:pieChart>
        <c:varyColors val="1"/>
        <c:ser>
          <c:idx val="1"/>
          <c:order val="0"/>
          <c:spPr>
            <a:ln>
              <a:solidFill>
                <a:schemeClr val="accent1"/>
              </a:solidFill>
            </a:ln>
          </c:spPr>
          <c:dPt>
            <c:idx val="1"/>
            <c:bubble3D val="0"/>
            <c:spPr>
              <a:solidFill>
                <a:srgbClr val="FFFFCC"/>
              </a:solidFill>
              <a:ln>
                <a:solidFill>
                  <a:schemeClr val="accent1"/>
                </a:solidFill>
              </a:ln>
            </c:spPr>
            <c:extLst>
              <c:ext xmlns:c16="http://schemas.microsoft.com/office/drawing/2014/chart" uri="{C3380CC4-5D6E-409C-BE32-E72D297353CC}">
                <c16:uniqueId val="{00000001-5079-4D3F-9999-F6C1829CFC38}"/>
              </c:ext>
            </c:extLst>
          </c:dPt>
          <c:dLbls>
            <c:dLbl>
              <c:idx val="6"/>
              <c:layout>
                <c:manualLayout>
                  <c:x val="-4.6585240964933956E-3"/>
                  <c:y val="-1.83421276492687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79-4D3F-9999-F6C1829CFC38}"/>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multiLvlStrRef>
              <c:f>'Cost Report'!$B$26:$C$35</c:f>
              <c:multiLvlStrCache>
                <c:ptCount val="10"/>
                <c:lvl>
                  <c:pt idx="0">
                    <c:v> $/ton </c:v>
                  </c:pt>
                  <c:pt idx="1">
                    <c:v> $/ton </c:v>
                  </c:pt>
                  <c:pt idx="2">
                    <c:v> $/ton </c:v>
                  </c:pt>
                  <c:pt idx="3">
                    <c:v> $/ton </c:v>
                  </c:pt>
                  <c:pt idx="4">
                    <c:v> $/ton </c:v>
                  </c:pt>
                  <c:pt idx="5">
                    <c:v> $/ton </c:v>
                  </c:pt>
                  <c:pt idx="6">
                    <c:v> $/ton </c:v>
                  </c:pt>
                  <c:pt idx="7">
                    <c:v> $/ton </c:v>
                  </c:pt>
                  <c:pt idx="8">
                    <c:v> $/ton </c:v>
                  </c:pt>
                  <c:pt idx="9">
                    <c:v> $/ton </c:v>
                  </c:pt>
                </c:lvl>
                <c:lvl>
                  <c:pt idx="0">
                    <c:v>Fuel energy </c:v>
                  </c:pt>
                  <c:pt idx="1">
                    <c:v>Electric energy </c:v>
                  </c:pt>
                  <c:pt idx="2">
                    <c:v>Aux. Equipment </c:v>
                  </c:pt>
                  <c:pt idx="3">
                    <c:v>Other utilities </c:v>
                  </c:pt>
                  <c:pt idx="4">
                    <c:v>O &amp; M </c:v>
                  </c:pt>
                  <c:pt idx="5">
                    <c:v>Labor + related</c:v>
                  </c:pt>
                  <c:pt idx="6">
                    <c:v>Product loss</c:v>
                  </c:pt>
                  <c:pt idx="7">
                    <c:v>Other material </c:v>
                  </c:pt>
                  <c:pt idx="8">
                    <c:v>Equipment amortization </c:v>
                  </c:pt>
                  <c:pt idx="9">
                    <c:v>Other </c:v>
                  </c:pt>
                </c:lvl>
              </c:multiLvlStrCache>
            </c:multiLvlStrRef>
          </c:cat>
          <c:val>
            <c:numRef>
              <c:f>'Cost Report'!$E$26:$E$35</c:f>
              <c:numCache>
                <c:formatCode>_("$"* #,##0.00000_);_("$"* \(#,##0.00000\);_("$"*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079-4D3F-9999-F6C1829CFC38}"/>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'Cost Report'!$B$26:$C$26</c:f>
              <c:strCache>
                <c:ptCount val="2"/>
                <c:pt idx="0">
                  <c:v>Fuel energy </c:v>
                </c:pt>
                <c:pt idx="1">
                  <c:v> $/ton </c:v>
                </c:pt>
              </c:strCache>
            </c:strRef>
          </c:tx>
          <c:invertIfNegative val="0"/>
          <c:cat>
            <c:strRef>
              <c:f>'Cost Report'!$D$10:$E$10</c:f>
              <c:strCache>
                <c:ptCount val="2"/>
                <c:pt idx="0">
                  <c:v>Fuel Based System</c:v>
                </c:pt>
                <c:pt idx="1">
                  <c:v>Electrical - Hybrid system</c:v>
                </c:pt>
              </c:strCache>
            </c:strRef>
          </c:cat>
          <c:val>
            <c:numRef>
              <c:f>'Cost Report'!$D$26:$E$26</c:f>
              <c:numCache>
                <c:formatCode>_("$"* #,##0.00000_);_("$"* \(#,##0.00000\);_("$"* "-"??_);_(@_)</c:formatCode>
                <c:ptCount val="2"/>
                <c:pt idx="0">
                  <c:v>0</c:v>
                </c:pt>
                <c:pt idx="1">
                  <c:v>0</c:v>
                </c:pt>
              </c:numCache>
            </c:numRef>
          </c:val>
          <c:extLst>
            <c:ext xmlns:c16="http://schemas.microsoft.com/office/drawing/2014/chart" uri="{C3380CC4-5D6E-409C-BE32-E72D297353CC}">
              <c16:uniqueId val="{00000000-4319-4189-963E-6A6478765EC1}"/>
            </c:ext>
          </c:extLst>
        </c:ser>
        <c:ser>
          <c:idx val="1"/>
          <c:order val="1"/>
          <c:tx>
            <c:strRef>
              <c:f>'Cost Report'!$B$27:$C$27</c:f>
              <c:strCache>
                <c:ptCount val="2"/>
                <c:pt idx="0">
                  <c:v>Electric energy </c:v>
                </c:pt>
                <c:pt idx="1">
                  <c:v> $/ton </c:v>
                </c:pt>
              </c:strCache>
            </c:strRef>
          </c:tx>
          <c:invertIfNegative val="0"/>
          <c:cat>
            <c:strRef>
              <c:f>'Cost Report'!$D$10:$E$10</c:f>
              <c:strCache>
                <c:ptCount val="2"/>
                <c:pt idx="0">
                  <c:v>Fuel Based System</c:v>
                </c:pt>
                <c:pt idx="1">
                  <c:v>Electrical - Hybrid system</c:v>
                </c:pt>
              </c:strCache>
            </c:strRef>
          </c:cat>
          <c:val>
            <c:numRef>
              <c:f>'Cost Report'!$D$27:$E$27</c:f>
              <c:numCache>
                <c:formatCode>_("$"* #,##0.00000_);_("$"* \(#,##0.00000\);_("$"* "-"??_);_(@_)</c:formatCode>
                <c:ptCount val="2"/>
                <c:pt idx="1">
                  <c:v>0</c:v>
                </c:pt>
              </c:numCache>
            </c:numRef>
          </c:val>
          <c:extLst>
            <c:ext xmlns:c16="http://schemas.microsoft.com/office/drawing/2014/chart" uri="{C3380CC4-5D6E-409C-BE32-E72D297353CC}">
              <c16:uniqueId val="{00000001-4319-4189-963E-6A6478765EC1}"/>
            </c:ext>
          </c:extLst>
        </c:ser>
        <c:ser>
          <c:idx val="2"/>
          <c:order val="2"/>
          <c:tx>
            <c:strRef>
              <c:f>'Cost Report'!$B$28:$C$28</c:f>
              <c:strCache>
                <c:ptCount val="2"/>
                <c:pt idx="0">
                  <c:v>Aux. Equipment </c:v>
                </c:pt>
                <c:pt idx="1">
                  <c:v> $/ton </c:v>
                </c:pt>
              </c:strCache>
            </c:strRef>
          </c:tx>
          <c:invertIfNegative val="0"/>
          <c:cat>
            <c:strRef>
              <c:f>'Cost Report'!$D$10:$E$10</c:f>
              <c:strCache>
                <c:ptCount val="2"/>
                <c:pt idx="0">
                  <c:v>Fuel Based System</c:v>
                </c:pt>
                <c:pt idx="1">
                  <c:v>Electrical - Hybrid system</c:v>
                </c:pt>
              </c:strCache>
            </c:strRef>
          </c:cat>
          <c:val>
            <c:numRef>
              <c:f>'Cost Report'!$D$28:$E$28</c:f>
              <c:numCache>
                <c:formatCode>_("$"* #,##0.00000_);_("$"* \(#,##0.00000\);_("$"* "-"??_);_(@_)</c:formatCode>
                <c:ptCount val="2"/>
                <c:pt idx="0">
                  <c:v>0</c:v>
                </c:pt>
                <c:pt idx="1">
                  <c:v>0</c:v>
                </c:pt>
              </c:numCache>
            </c:numRef>
          </c:val>
          <c:extLst>
            <c:ext xmlns:c16="http://schemas.microsoft.com/office/drawing/2014/chart" uri="{C3380CC4-5D6E-409C-BE32-E72D297353CC}">
              <c16:uniqueId val="{00000002-4319-4189-963E-6A6478765EC1}"/>
            </c:ext>
          </c:extLst>
        </c:ser>
        <c:ser>
          <c:idx val="3"/>
          <c:order val="3"/>
          <c:tx>
            <c:strRef>
              <c:f>'Cost Report'!$B$29:$C$29</c:f>
              <c:strCache>
                <c:ptCount val="2"/>
                <c:pt idx="0">
                  <c:v>Other utilities </c:v>
                </c:pt>
                <c:pt idx="1">
                  <c:v> $/ton </c:v>
                </c:pt>
              </c:strCache>
            </c:strRef>
          </c:tx>
          <c:invertIfNegative val="0"/>
          <c:cat>
            <c:strRef>
              <c:f>'Cost Report'!$D$10:$E$10</c:f>
              <c:strCache>
                <c:ptCount val="2"/>
                <c:pt idx="0">
                  <c:v>Fuel Based System</c:v>
                </c:pt>
                <c:pt idx="1">
                  <c:v>Electrical - Hybrid system</c:v>
                </c:pt>
              </c:strCache>
            </c:strRef>
          </c:cat>
          <c:val>
            <c:numRef>
              <c:f>'Cost Report'!$D$29:$E$29</c:f>
              <c:numCache>
                <c:formatCode>_("$"* #,##0.00000_);_("$"* \(#,##0.00000\);_("$"* "-"??_);_(@_)</c:formatCode>
                <c:ptCount val="2"/>
                <c:pt idx="0">
                  <c:v>0</c:v>
                </c:pt>
                <c:pt idx="1">
                  <c:v>0</c:v>
                </c:pt>
              </c:numCache>
            </c:numRef>
          </c:val>
          <c:extLst>
            <c:ext xmlns:c16="http://schemas.microsoft.com/office/drawing/2014/chart" uri="{C3380CC4-5D6E-409C-BE32-E72D297353CC}">
              <c16:uniqueId val="{00000003-4319-4189-963E-6A6478765EC1}"/>
            </c:ext>
          </c:extLst>
        </c:ser>
        <c:ser>
          <c:idx val="4"/>
          <c:order val="4"/>
          <c:tx>
            <c:strRef>
              <c:f>'Cost Report'!$B$30:$C$30</c:f>
              <c:strCache>
                <c:ptCount val="2"/>
                <c:pt idx="0">
                  <c:v>O &amp; M </c:v>
                </c:pt>
                <c:pt idx="1">
                  <c:v> $/ton </c:v>
                </c:pt>
              </c:strCache>
            </c:strRef>
          </c:tx>
          <c:invertIfNegative val="0"/>
          <c:cat>
            <c:strRef>
              <c:f>'Cost Report'!$D$10:$E$10</c:f>
              <c:strCache>
                <c:ptCount val="2"/>
                <c:pt idx="0">
                  <c:v>Fuel Based System</c:v>
                </c:pt>
                <c:pt idx="1">
                  <c:v>Electrical - Hybrid system</c:v>
                </c:pt>
              </c:strCache>
            </c:strRef>
          </c:cat>
          <c:val>
            <c:numRef>
              <c:f>'Cost Report'!$D$30:$E$30</c:f>
              <c:numCache>
                <c:formatCode>_("$"* #,##0.00000_);_("$"* \(#,##0.00000\);_("$"* "-"??_);_(@_)</c:formatCode>
                <c:ptCount val="2"/>
                <c:pt idx="0">
                  <c:v>0</c:v>
                </c:pt>
                <c:pt idx="1">
                  <c:v>0</c:v>
                </c:pt>
              </c:numCache>
            </c:numRef>
          </c:val>
          <c:extLst>
            <c:ext xmlns:c16="http://schemas.microsoft.com/office/drawing/2014/chart" uri="{C3380CC4-5D6E-409C-BE32-E72D297353CC}">
              <c16:uniqueId val="{00000004-4319-4189-963E-6A6478765EC1}"/>
            </c:ext>
          </c:extLst>
        </c:ser>
        <c:ser>
          <c:idx val="5"/>
          <c:order val="5"/>
          <c:tx>
            <c:strRef>
              <c:f>'Cost Report'!$B$31:$C$31</c:f>
              <c:strCache>
                <c:ptCount val="2"/>
                <c:pt idx="0">
                  <c:v>Labor + related</c:v>
                </c:pt>
                <c:pt idx="1">
                  <c:v> $/ton </c:v>
                </c:pt>
              </c:strCache>
            </c:strRef>
          </c:tx>
          <c:invertIfNegative val="0"/>
          <c:cat>
            <c:strRef>
              <c:f>'Cost Report'!$D$10:$E$10</c:f>
              <c:strCache>
                <c:ptCount val="2"/>
                <c:pt idx="0">
                  <c:v>Fuel Based System</c:v>
                </c:pt>
                <c:pt idx="1">
                  <c:v>Electrical - Hybrid system</c:v>
                </c:pt>
              </c:strCache>
            </c:strRef>
          </c:cat>
          <c:val>
            <c:numRef>
              <c:f>'Cost Report'!$D$31:$E$31</c:f>
              <c:numCache>
                <c:formatCode>_("$"* #,##0.00000_);_("$"* \(#,##0.00000\);_("$"* "-"??_);_(@_)</c:formatCode>
                <c:ptCount val="2"/>
                <c:pt idx="0">
                  <c:v>0</c:v>
                </c:pt>
                <c:pt idx="1">
                  <c:v>0</c:v>
                </c:pt>
              </c:numCache>
            </c:numRef>
          </c:val>
          <c:extLst>
            <c:ext xmlns:c16="http://schemas.microsoft.com/office/drawing/2014/chart" uri="{C3380CC4-5D6E-409C-BE32-E72D297353CC}">
              <c16:uniqueId val="{00000005-4319-4189-963E-6A6478765EC1}"/>
            </c:ext>
          </c:extLst>
        </c:ser>
        <c:ser>
          <c:idx val="6"/>
          <c:order val="6"/>
          <c:tx>
            <c:strRef>
              <c:f>'Cost Report'!$B$32:$C$32</c:f>
              <c:strCache>
                <c:ptCount val="2"/>
                <c:pt idx="0">
                  <c:v>Product loss</c:v>
                </c:pt>
                <c:pt idx="1">
                  <c:v> $/ton </c:v>
                </c:pt>
              </c:strCache>
            </c:strRef>
          </c:tx>
          <c:invertIfNegative val="0"/>
          <c:cat>
            <c:strRef>
              <c:f>'Cost Report'!$D$10:$E$10</c:f>
              <c:strCache>
                <c:ptCount val="2"/>
                <c:pt idx="0">
                  <c:v>Fuel Based System</c:v>
                </c:pt>
                <c:pt idx="1">
                  <c:v>Electrical - Hybrid system</c:v>
                </c:pt>
              </c:strCache>
            </c:strRef>
          </c:cat>
          <c:val>
            <c:numRef>
              <c:f>'Cost Report'!$D$32:$E$32</c:f>
              <c:numCache>
                <c:formatCode>_("$"* #,##0.00000_);_("$"* \(#,##0.00000\);_("$"* "-"??_);_(@_)</c:formatCode>
                <c:ptCount val="2"/>
                <c:pt idx="0">
                  <c:v>0</c:v>
                </c:pt>
                <c:pt idx="1">
                  <c:v>0</c:v>
                </c:pt>
              </c:numCache>
            </c:numRef>
          </c:val>
          <c:extLst>
            <c:ext xmlns:c16="http://schemas.microsoft.com/office/drawing/2014/chart" uri="{C3380CC4-5D6E-409C-BE32-E72D297353CC}">
              <c16:uniqueId val="{00000006-4319-4189-963E-6A6478765EC1}"/>
            </c:ext>
          </c:extLst>
        </c:ser>
        <c:ser>
          <c:idx val="7"/>
          <c:order val="7"/>
          <c:tx>
            <c:strRef>
              <c:f>'Cost Report'!$B$33:$C$33</c:f>
              <c:strCache>
                <c:ptCount val="2"/>
                <c:pt idx="0">
                  <c:v>Other material </c:v>
                </c:pt>
                <c:pt idx="1">
                  <c:v> $/ton </c:v>
                </c:pt>
              </c:strCache>
            </c:strRef>
          </c:tx>
          <c:invertIfNegative val="0"/>
          <c:cat>
            <c:strRef>
              <c:f>'Cost Report'!$D$10:$E$10</c:f>
              <c:strCache>
                <c:ptCount val="2"/>
                <c:pt idx="0">
                  <c:v>Fuel Based System</c:v>
                </c:pt>
                <c:pt idx="1">
                  <c:v>Electrical - Hybrid system</c:v>
                </c:pt>
              </c:strCache>
            </c:strRef>
          </c:cat>
          <c:val>
            <c:numRef>
              <c:f>'Cost Report'!$D$33:$E$33</c:f>
              <c:numCache>
                <c:formatCode>_("$"* #,##0.00000_);_("$"* \(#,##0.00000\);_("$"* "-"??_);_(@_)</c:formatCode>
                <c:ptCount val="2"/>
                <c:pt idx="0">
                  <c:v>0</c:v>
                </c:pt>
                <c:pt idx="1">
                  <c:v>0</c:v>
                </c:pt>
              </c:numCache>
            </c:numRef>
          </c:val>
          <c:extLst>
            <c:ext xmlns:c16="http://schemas.microsoft.com/office/drawing/2014/chart" uri="{C3380CC4-5D6E-409C-BE32-E72D297353CC}">
              <c16:uniqueId val="{00000007-4319-4189-963E-6A6478765EC1}"/>
            </c:ext>
          </c:extLst>
        </c:ser>
        <c:ser>
          <c:idx val="8"/>
          <c:order val="8"/>
          <c:tx>
            <c:strRef>
              <c:f>'Cost Report'!$B$34:$C$34</c:f>
              <c:strCache>
                <c:ptCount val="2"/>
                <c:pt idx="0">
                  <c:v>Equipment amortization </c:v>
                </c:pt>
                <c:pt idx="1">
                  <c:v> $/ton </c:v>
                </c:pt>
              </c:strCache>
            </c:strRef>
          </c:tx>
          <c:invertIfNegative val="0"/>
          <c:cat>
            <c:strRef>
              <c:f>'Cost Report'!$D$10:$E$10</c:f>
              <c:strCache>
                <c:ptCount val="2"/>
                <c:pt idx="0">
                  <c:v>Fuel Based System</c:v>
                </c:pt>
                <c:pt idx="1">
                  <c:v>Electrical - Hybrid system</c:v>
                </c:pt>
              </c:strCache>
            </c:strRef>
          </c:cat>
          <c:val>
            <c:numRef>
              <c:f>'Cost Report'!$D$34:$E$34</c:f>
              <c:numCache>
                <c:formatCode>_("$"* #,##0.00000_);_("$"* \(#,##0.00000\);_("$"* "-"??_);_(@_)</c:formatCode>
                <c:ptCount val="2"/>
                <c:pt idx="0">
                  <c:v>0</c:v>
                </c:pt>
                <c:pt idx="1">
                  <c:v>0</c:v>
                </c:pt>
              </c:numCache>
            </c:numRef>
          </c:val>
          <c:extLst>
            <c:ext xmlns:c16="http://schemas.microsoft.com/office/drawing/2014/chart" uri="{C3380CC4-5D6E-409C-BE32-E72D297353CC}">
              <c16:uniqueId val="{00000008-4319-4189-963E-6A6478765EC1}"/>
            </c:ext>
          </c:extLst>
        </c:ser>
        <c:ser>
          <c:idx val="9"/>
          <c:order val="9"/>
          <c:tx>
            <c:strRef>
              <c:f>'Cost Report'!$B$35:$C$35</c:f>
              <c:strCache>
                <c:ptCount val="2"/>
                <c:pt idx="0">
                  <c:v>Other </c:v>
                </c:pt>
                <c:pt idx="1">
                  <c:v> $/ton </c:v>
                </c:pt>
              </c:strCache>
            </c:strRef>
          </c:tx>
          <c:invertIfNegative val="0"/>
          <c:cat>
            <c:strRef>
              <c:f>'Cost Report'!$D$10:$E$10</c:f>
              <c:strCache>
                <c:ptCount val="2"/>
                <c:pt idx="0">
                  <c:v>Fuel Based System</c:v>
                </c:pt>
                <c:pt idx="1">
                  <c:v>Electrical - Hybrid system</c:v>
                </c:pt>
              </c:strCache>
            </c:strRef>
          </c:cat>
          <c:val>
            <c:numRef>
              <c:f>'Cost Report'!$D$35:$E$35</c:f>
              <c:numCache>
                <c:formatCode>_("$"* #,##0.00000_);_("$"* \(#,##0.00000\);_("$"* "-"??_);_(@_)</c:formatCode>
                <c:ptCount val="2"/>
                <c:pt idx="0">
                  <c:v>0</c:v>
                </c:pt>
                <c:pt idx="1">
                  <c:v>0</c:v>
                </c:pt>
              </c:numCache>
            </c:numRef>
          </c:val>
          <c:extLst>
            <c:ext xmlns:c16="http://schemas.microsoft.com/office/drawing/2014/chart" uri="{C3380CC4-5D6E-409C-BE32-E72D297353CC}">
              <c16:uniqueId val="{00000009-4319-4189-963E-6A6478765EC1}"/>
            </c:ext>
          </c:extLst>
        </c:ser>
        <c:dLbls>
          <c:showLegendKey val="0"/>
          <c:showVal val="0"/>
          <c:showCatName val="0"/>
          <c:showSerName val="0"/>
          <c:showPercent val="0"/>
          <c:showBubbleSize val="0"/>
        </c:dLbls>
        <c:gapWidth val="150"/>
        <c:overlap val="100"/>
        <c:axId val="284258688"/>
        <c:axId val="284260608"/>
      </c:barChart>
      <c:catAx>
        <c:axId val="284258688"/>
        <c:scaling>
          <c:orientation val="minMax"/>
        </c:scaling>
        <c:delete val="0"/>
        <c:axPos val="b"/>
        <c:numFmt formatCode="General" sourceLinked="0"/>
        <c:majorTickMark val="out"/>
        <c:minorTickMark val="none"/>
        <c:tickLblPos val="nextTo"/>
        <c:txPr>
          <a:bodyPr/>
          <a:lstStyle/>
          <a:p>
            <a:pPr>
              <a:defRPr sz="1100" b="1"/>
            </a:pPr>
            <a:endParaRPr lang="en-US"/>
          </a:p>
        </c:txPr>
        <c:crossAx val="284260608"/>
        <c:crosses val="autoZero"/>
        <c:auto val="0"/>
        <c:lblAlgn val="ctr"/>
        <c:lblOffset val="100"/>
        <c:noMultiLvlLbl val="0"/>
      </c:catAx>
      <c:valAx>
        <c:axId val="284260608"/>
        <c:scaling>
          <c:orientation val="minMax"/>
        </c:scaling>
        <c:delete val="0"/>
        <c:axPos val="l"/>
        <c:majorGridlines/>
        <c:title>
          <c:tx>
            <c:rich>
              <a:bodyPr rot="-5400000" vert="horz"/>
              <a:lstStyle/>
              <a:p>
                <a:pPr>
                  <a:defRPr/>
                </a:pPr>
                <a:r>
                  <a:rPr lang="en-US"/>
                  <a:t>$/ton</a:t>
                </a:r>
              </a:p>
            </c:rich>
          </c:tx>
          <c:overlay val="0"/>
        </c:title>
        <c:numFmt formatCode="_(&quot;$&quot;* #,##0.00000_);_(&quot;$&quot;* \(#,##0.00000\);_(&quot;$&quot;* &quot;-&quot;??_);_(@_)" sourceLinked="1"/>
        <c:majorTickMark val="out"/>
        <c:minorTickMark val="none"/>
        <c:tickLblPos val="nextTo"/>
        <c:crossAx val="28425868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Aux equipment'!A1"/><Relationship Id="rId13" Type="http://schemas.openxmlformats.org/officeDocument/2006/relationships/hyperlink" Target="#'Cost Report'!A1"/><Relationship Id="rId3" Type="http://schemas.openxmlformats.org/officeDocument/2006/relationships/hyperlink" Target="#'Guide-Instructions'!A1"/><Relationship Id="rId7" Type="http://schemas.openxmlformats.org/officeDocument/2006/relationships/hyperlink" Target="#'Maintenance cost'!A1"/><Relationship Id="rId12" Type="http://schemas.openxmlformats.org/officeDocument/2006/relationships/hyperlink" Target="#'Water use module'!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Energy use'!A1"/><Relationship Id="rId11" Type="http://schemas.openxmlformats.org/officeDocument/2006/relationships/hyperlink" Target="#'Labor cost '!A1"/><Relationship Id="rId5" Type="http://schemas.openxmlformats.org/officeDocument/2006/relationships/hyperlink" Target="#'Facility Level Impact'!A1"/><Relationship Id="rId10" Type="http://schemas.openxmlformats.org/officeDocument/2006/relationships/hyperlink" Target="#'Other material cost'!A1"/><Relationship Id="rId4" Type="http://schemas.openxmlformats.org/officeDocument/2006/relationships/hyperlink" Target="#'Calculator '!A1"/><Relationship Id="rId9" Type="http://schemas.openxmlformats.org/officeDocument/2006/relationships/hyperlink" Target="#'Other utilities '!A1"/></Relationships>
</file>

<file path=xl/drawings/_rels/drawing10.xml.rels><?xml version="1.0" encoding="UTF-8" standalone="yes"?>
<Relationships xmlns="http://schemas.openxmlformats.org/package/2006/relationships"><Relationship Id="rId8" Type="http://schemas.microsoft.com/office/2007/relationships/hdphoto" Target="../media/hdphoto4.wdp"/><Relationship Id="rId3" Type="http://schemas.openxmlformats.org/officeDocument/2006/relationships/image" Target="../media/image11.jpeg"/><Relationship Id="rId7" Type="http://schemas.openxmlformats.org/officeDocument/2006/relationships/image" Target="../media/image12.jpeg"/><Relationship Id="rId2" Type="http://schemas.microsoft.com/office/2007/relationships/hdphoto" Target="../media/hdphoto1.wdp"/><Relationship Id="rId1" Type="http://schemas.openxmlformats.org/officeDocument/2006/relationships/image" Target="../media/image3.jpeg"/><Relationship Id="rId6" Type="http://schemas.microsoft.com/office/2007/relationships/hdphoto" Target="../media/hdphoto2.wdp"/><Relationship Id="rId5" Type="http://schemas.openxmlformats.org/officeDocument/2006/relationships/image" Target="../media/image5.jpeg"/><Relationship Id="rId4" Type="http://schemas.microsoft.com/office/2007/relationships/hdphoto" Target="../media/hdphoto3.wdp"/></Relationships>
</file>

<file path=xl/drawings/_rels/drawing11.x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12" Type="http://schemas.openxmlformats.org/officeDocument/2006/relationships/image" Target="../media/image23.emf"/><Relationship Id="rId2" Type="http://schemas.openxmlformats.org/officeDocument/2006/relationships/image" Target="../media/image13.emf"/><Relationship Id="rId1" Type="http://schemas.openxmlformats.org/officeDocument/2006/relationships/hyperlink" Target="#control_page!D6"/><Relationship Id="rId6" Type="http://schemas.openxmlformats.org/officeDocument/2006/relationships/image" Target="../media/image17.emf"/><Relationship Id="rId11" Type="http://schemas.openxmlformats.org/officeDocument/2006/relationships/image" Target="../media/image22.emf"/><Relationship Id="rId5" Type="http://schemas.openxmlformats.org/officeDocument/2006/relationships/image" Target="../media/image16.emf"/><Relationship Id="rId10" Type="http://schemas.openxmlformats.org/officeDocument/2006/relationships/image" Target="../media/image21.emf"/><Relationship Id="rId4" Type="http://schemas.openxmlformats.org/officeDocument/2006/relationships/image" Target="../media/image15.emf"/><Relationship Id="rId9" Type="http://schemas.openxmlformats.org/officeDocument/2006/relationships/image" Target="../media/image20.emf"/></Relationships>
</file>

<file path=xl/drawings/_rels/drawing12.xml.rels><?xml version="1.0" encoding="UTF-8" standalone="yes"?>
<Relationships xmlns="http://schemas.openxmlformats.org/package/2006/relationships"><Relationship Id="rId2" Type="http://schemas.openxmlformats.org/officeDocument/2006/relationships/hyperlink" Target="#'Control Page'!A1"/><Relationship Id="rId1" Type="http://schemas.openxmlformats.org/officeDocument/2006/relationships/hyperlink" Target="#'Calculator '!A15"/></Relationships>
</file>

<file path=xl/drawings/_rels/drawing13.xml.rels><?xml version="1.0" encoding="UTF-8" standalone="yes"?>
<Relationships xmlns="http://schemas.openxmlformats.org/package/2006/relationships"><Relationship Id="rId2" Type="http://schemas.openxmlformats.org/officeDocument/2006/relationships/hyperlink" Target="#'Control Page'!A1"/><Relationship Id="rId1" Type="http://schemas.openxmlformats.org/officeDocument/2006/relationships/hyperlink" Target="#'Calculator '!A15"/></Relationships>
</file>

<file path=xl/drawings/_rels/drawing14.xml.rels><?xml version="1.0" encoding="UTF-8" standalone="yes"?>
<Relationships xmlns="http://schemas.openxmlformats.org/package/2006/relationships"><Relationship Id="rId2" Type="http://schemas.openxmlformats.org/officeDocument/2006/relationships/hyperlink" Target="#'Control Page'!A1"/><Relationship Id="rId1" Type="http://schemas.openxmlformats.org/officeDocument/2006/relationships/hyperlink" Target="#'Calculator '!A15"/></Relationships>
</file>

<file path=xl/drawings/_rels/drawing15.xml.rels><?xml version="1.0" encoding="UTF-8" standalone="yes"?>
<Relationships xmlns="http://schemas.openxmlformats.org/package/2006/relationships"><Relationship Id="rId2" Type="http://schemas.openxmlformats.org/officeDocument/2006/relationships/hyperlink" Target="#'Control Page'!A1"/><Relationship Id="rId1" Type="http://schemas.openxmlformats.org/officeDocument/2006/relationships/hyperlink" Target="#'Calculator '!A56"/></Relationships>
</file>

<file path=xl/drawings/_rels/drawing16.xml.rels><?xml version="1.0" encoding="UTF-8" standalone="yes"?>
<Relationships xmlns="http://schemas.openxmlformats.org/package/2006/relationships"><Relationship Id="rId2" Type="http://schemas.openxmlformats.org/officeDocument/2006/relationships/hyperlink" Target="#'Control Page'!A1"/><Relationship Id="rId1" Type="http://schemas.openxmlformats.org/officeDocument/2006/relationships/hyperlink" Target="#'Calculator '!A60"/></Relationships>
</file>

<file path=xl/drawings/_rels/drawing17.xml.rels><?xml version="1.0" encoding="UTF-8" standalone="yes"?>
<Relationships xmlns="http://schemas.openxmlformats.org/package/2006/relationships"><Relationship Id="rId2" Type="http://schemas.openxmlformats.org/officeDocument/2006/relationships/hyperlink" Target="#'Control Page'!A1"/><Relationship Id="rId1" Type="http://schemas.openxmlformats.org/officeDocument/2006/relationships/hyperlink" Target="#'Calculator '!A71"/></Relationships>
</file>

<file path=xl/drawings/_rels/drawing18.xml.rels><?xml version="1.0" encoding="UTF-8" standalone="yes"?>
<Relationships xmlns="http://schemas.openxmlformats.org/package/2006/relationships"><Relationship Id="rId2" Type="http://schemas.openxmlformats.org/officeDocument/2006/relationships/hyperlink" Target="#'Control Page'!A1"/><Relationship Id="rId1" Type="http://schemas.openxmlformats.org/officeDocument/2006/relationships/hyperlink" Target="#'Calculator '!A65"/></Relationships>
</file>

<file path=xl/drawings/_rels/drawing19.xml.rels><?xml version="1.0" encoding="UTF-8" standalone="yes"?>
<Relationships xmlns="http://schemas.openxmlformats.org/package/2006/relationships"><Relationship Id="rId3" Type="http://schemas.openxmlformats.org/officeDocument/2006/relationships/hyperlink" Target="#'Control Page'!A1"/><Relationship Id="rId2" Type="http://schemas.openxmlformats.org/officeDocument/2006/relationships/hyperlink" Target="#'Calculator '!A1"/><Relationship Id="rId1" Type="http://schemas.openxmlformats.org/officeDocument/2006/relationships/image" Target="../media/image24.png"/></Relationships>
</file>

<file path=xl/drawings/_rels/drawing2.xml.rels><?xml version="1.0" encoding="UTF-8" standalone="yes"?>
<Relationships xmlns="http://schemas.openxmlformats.org/package/2006/relationships"><Relationship Id="rId2" Type="http://schemas.openxmlformats.org/officeDocument/2006/relationships/hyperlink" Target="#'Calculator '!A1"/><Relationship Id="rId1" Type="http://schemas.openxmlformats.org/officeDocument/2006/relationships/hyperlink" Target="#'Control Page'!A1"/></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jpeg"/><Relationship Id="rId7" Type="http://schemas.openxmlformats.org/officeDocument/2006/relationships/image" Target="../media/image6.png"/><Relationship Id="rId2" Type="http://schemas.microsoft.com/office/2007/relationships/hdphoto" Target="../media/hdphoto1.wdp"/><Relationship Id="rId1" Type="http://schemas.openxmlformats.org/officeDocument/2006/relationships/image" Target="../media/image3.jpeg"/><Relationship Id="rId6" Type="http://schemas.openxmlformats.org/officeDocument/2006/relationships/hyperlink" Target="#'Control Page'!A1"/><Relationship Id="rId11" Type="http://schemas.openxmlformats.org/officeDocument/2006/relationships/image" Target="../media/image10.png"/><Relationship Id="rId5" Type="http://schemas.microsoft.com/office/2007/relationships/hdphoto" Target="../media/hdphoto2.wdp"/><Relationship Id="rId10" Type="http://schemas.openxmlformats.org/officeDocument/2006/relationships/image" Target="../media/image9.png"/><Relationship Id="rId4" Type="http://schemas.openxmlformats.org/officeDocument/2006/relationships/image" Target="../media/image5.jpeg"/><Relationship Id="rId9"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hyperlink" Target="#'Cost Report'!A1"/><Relationship Id="rId2" Type="http://schemas.openxmlformats.org/officeDocument/2006/relationships/hyperlink" Target="#'Facility Level Impact'!A1"/><Relationship Id="rId1" Type="http://schemas.openxmlformats.org/officeDocument/2006/relationships/hyperlink" Target="#'Control Page'!A1"/></Relationships>
</file>

<file path=xl/drawings/_rels/drawing5.xml.rels><?xml version="1.0" encoding="UTF-8" standalone="yes"?>
<Relationships xmlns="http://schemas.openxmlformats.org/package/2006/relationships"><Relationship Id="rId2" Type="http://schemas.openxmlformats.org/officeDocument/2006/relationships/hyperlink" Target="#'Cost Report'!A1"/><Relationship Id="rId1" Type="http://schemas.openxmlformats.org/officeDocument/2006/relationships/hyperlink" Target="#'Control Page'!A1"/></Relationships>
</file>

<file path=xl/drawings/_rels/drawing6.xml.rels><?xml version="1.0" encoding="UTF-8" standalone="yes"?>
<Relationships xmlns="http://schemas.openxmlformats.org/package/2006/relationships"><Relationship Id="rId1" Type="http://schemas.openxmlformats.org/officeDocument/2006/relationships/hyperlink" Target="#'Control Page'!A1"/></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Facility Level Impact'!A1"/><Relationship Id="rId5" Type="http://schemas.openxmlformats.org/officeDocument/2006/relationships/hyperlink" Target="#'Calculator '!A1"/><Relationship Id="rId4" Type="http://schemas.openxmlformats.org/officeDocument/2006/relationships/hyperlink" Target="#'Control Page'!A1"/></Relationships>
</file>

<file path=xl/drawings/_rels/drawing8.xml.rels><?xml version="1.0" encoding="UTF-8" standalone="yes"?>
<Relationships xmlns="http://schemas.openxmlformats.org/package/2006/relationships"><Relationship Id="rId2" Type="http://schemas.openxmlformats.org/officeDocument/2006/relationships/hyperlink" Target="#'Control Page'!A1"/><Relationship Id="rId1" Type="http://schemas.openxmlformats.org/officeDocument/2006/relationships/hyperlink" Target="#'Calculator '!A45"/></Relationships>
</file>

<file path=xl/drawings/_rels/drawing9.xml.rels><?xml version="1.0" encoding="UTF-8" standalone="yes"?>
<Relationships xmlns="http://schemas.openxmlformats.org/package/2006/relationships"><Relationship Id="rId2" Type="http://schemas.openxmlformats.org/officeDocument/2006/relationships/hyperlink" Target="#'Control Page'!A1"/><Relationship Id="rId1" Type="http://schemas.openxmlformats.org/officeDocument/2006/relationships/hyperlink" Target="#'Calculator '!A63"/></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1</xdr:row>
      <xdr:rowOff>28575</xdr:rowOff>
    </xdr:from>
    <xdr:to>
      <xdr:col>3</xdr:col>
      <xdr:colOff>342900</xdr:colOff>
      <xdr:row>1</xdr:row>
      <xdr:rowOff>841655</xdr:rowOff>
    </xdr:to>
    <xdr:pic>
      <xdr:nvPicPr>
        <xdr:cNvPr id="17" name="Picture 16" descr="https://upload.wikimedia.org/wikipedia/commons/thumb/c/ce/Oak_Ridge_National_Laboratory_logo.svg/2000px-Oak_Ridge_National_Laboratory_logo.svg.png">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342900"/>
          <a:ext cx="1400175" cy="81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1</xdr:row>
      <xdr:rowOff>28575</xdr:rowOff>
    </xdr:from>
    <xdr:to>
      <xdr:col>1</xdr:col>
      <xdr:colOff>85725</xdr:colOff>
      <xdr:row>1</xdr:row>
      <xdr:rowOff>866775</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 y="342900"/>
          <a:ext cx="838200" cy="838200"/>
        </a:xfrm>
        <a:prstGeom prst="rect">
          <a:avLst/>
        </a:prstGeom>
      </xdr:spPr>
    </xdr:pic>
    <xdr:clientData/>
  </xdr:twoCellAnchor>
  <xdr:twoCellAnchor>
    <xdr:from>
      <xdr:col>1</xdr:col>
      <xdr:colOff>19050</xdr:colOff>
      <xdr:row>7</xdr:row>
      <xdr:rowOff>19050</xdr:rowOff>
    </xdr:from>
    <xdr:to>
      <xdr:col>2</xdr:col>
      <xdr:colOff>1819275</xdr:colOff>
      <xdr:row>7</xdr:row>
      <xdr:rowOff>209550</xdr:rowOff>
    </xdr:to>
    <xdr:sp macro="" textlink="">
      <xdr:nvSpPr>
        <xdr:cNvPr id="2" name="Rectangle 1">
          <a:hlinkClick xmlns:r="http://schemas.openxmlformats.org/officeDocument/2006/relationships" r:id="rId3"/>
          <a:extLst>
            <a:ext uri="{FF2B5EF4-FFF2-40B4-BE49-F238E27FC236}">
              <a16:creationId xmlns:a16="http://schemas.microsoft.com/office/drawing/2014/main" id="{00000000-0008-0000-0000-000002000000}"/>
            </a:ext>
          </a:extLst>
        </xdr:cNvPr>
        <xdr:cNvSpPr/>
      </xdr:nvSpPr>
      <xdr:spPr>
        <a:xfrm>
          <a:off x="533400" y="2771775"/>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8</xdr:row>
      <xdr:rowOff>28575</xdr:rowOff>
    </xdr:from>
    <xdr:to>
      <xdr:col>2</xdr:col>
      <xdr:colOff>1828800</xdr:colOff>
      <xdr:row>8</xdr:row>
      <xdr:rowOff>219075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542925" y="3028950"/>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t>
          </a:r>
        </a:p>
      </xdr:txBody>
    </xdr:sp>
    <xdr:clientData/>
  </xdr:twoCellAnchor>
  <xdr:twoCellAnchor>
    <xdr:from>
      <xdr:col>1</xdr:col>
      <xdr:colOff>28575</xdr:colOff>
      <xdr:row>9</xdr:row>
      <xdr:rowOff>28575</xdr:rowOff>
    </xdr:from>
    <xdr:to>
      <xdr:col>2</xdr:col>
      <xdr:colOff>1828800</xdr:colOff>
      <xdr:row>9</xdr:row>
      <xdr:rowOff>219075</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000-000006000000}"/>
            </a:ext>
          </a:extLst>
        </xdr:cNvPr>
        <xdr:cNvSpPr/>
      </xdr:nvSpPr>
      <xdr:spPr>
        <a:xfrm>
          <a:off x="542925" y="3276600"/>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12</xdr:row>
      <xdr:rowOff>28575</xdr:rowOff>
    </xdr:from>
    <xdr:to>
      <xdr:col>2</xdr:col>
      <xdr:colOff>1838325</xdr:colOff>
      <xdr:row>12</xdr:row>
      <xdr:rowOff>219075</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00000000-0008-0000-0000-000007000000}"/>
            </a:ext>
          </a:extLst>
        </xdr:cNvPr>
        <xdr:cNvSpPr/>
      </xdr:nvSpPr>
      <xdr:spPr>
        <a:xfrm>
          <a:off x="552450" y="4019550"/>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13</xdr:row>
      <xdr:rowOff>28575</xdr:rowOff>
    </xdr:from>
    <xdr:to>
      <xdr:col>2</xdr:col>
      <xdr:colOff>1838325</xdr:colOff>
      <xdr:row>13</xdr:row>
      <xdr:rowOff>219075</xdr:rowOff>
    </xdr:to>
    <xdr:sp macro="" textlink="">
      <xdr:nvSpPr>
        <xdr:cNvPr id="8" name="Rectangle 7">
          <a:hlinkClick xmlns:r="http://schemas.openxmlformats.org/officeDocument/2006/relationships" r:id="rId7"/>
          <a:extLst>
            <a:ext uri="{FF2B5EF4-FFF2-40B4-BE49-F238E27FC236}">
              <a16:creationId xmlns:a16="http://schemas.microsoft.com/office/drawing/2014/main" id="{00000000-0008-0000-0000-000008000000}"/>
            </a:ext>
          </a:extLst>
        </xdr:cNvPr>
        <xdr:cNvSpPr/>
      </xdr:nvSpPr>
      <xdr:spPr>
        <a:xfrm>
          <a:off x="552450" y="4267200"/>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47625</xdr:colOff>
      <xdr:row>14</xdr:row>
      <xdr:rowOff>28575</xdr:rowOff>
    </xdr:from>
    <xdr:to>
      <xdr:col>2</xdr:col>
      <xdr:colOff>1847850</xdr:colOff>
      <xdr:row>14</xdr:row>
      <xdr:rowOff>219075</xdr:rowOff>
    </xdr:to>
    <xdr:sp macro="" textlink="">
      <xdr:nvSpPr>
        <xdr:cNvPr id="9" name="Rectangle 8">
          <a:hlinkClick xmlns:r="http://schemas.openxmlformats.org/officeDocument/2006/relationships" r:id="rId8"/>
          <a:extLst>
            <a:ext uri="{FF2B5EF4-FFF2-40B4-BE49-F238E27FC236}">
              <a16:creationId xmlns:a16="http://schemas.microsoft.com/office/drawing/2014/main" id="{00000000-0008-0000-0000-000009000000}"/>
            </a:ext>
          </a:extLst>
        </xdr:cNvPr>
        <xdr:cNvSpPr/>
      </xdr:nvSpPr>
      <xdr:spPr>
        <a:xfrm>
          <a:off x="561975" y="4514850"/>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15</xdr:row>
      <xdr:rowOff>19050</xdr:rowOff>
    </xdr:from>
    <xdr:to>
      <xdr:col>2</xdr:col>
      <xdr:colOff>1838325</xdr:colOff>
      <xdr:row>15</xdr:row>
      <xdr:rowOff>209550</xdr:rowOff>
    </xdr:to>
    <xdr:sp macro="" textlink="">
      <xdr:nvSpPr>
        <xdr:cNvPr id="10" name="Rectangle 9">
          <a:hlinkClick xmlns:r="http://schemas.openxmlformats.org/officeDocument/2006/relationships" r:id="rId9"/>
          <a:extLst>
            <a:ext uri="{FF2B5EF4-FFF2-40B4-BE49-F238E27FC236}">
              <a16:creationId xmlns:a16="http://schemas.microsoft.com/office/drawing/2014/main" id="{00000000-0008-0000-0000-00000A000000}"/>
            </a:ext>
          </a:extLst>
        </xdr:cNvPr>
        <xdr:cNvSpPr/>
      </xdr:nvSpPr>
      <xdr:spPr>
        <a:xfrm>
          <a:off x="552450" y="4752975"/>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16</xdr:row>
      <xdr:rowOff>28575</xdr:rowOff>
    </xdr:from>
    <xdr:to>
      <xdr:col>2</xdr:col>
      <xdr:colOff>1838325</xdr:colOff>
      <xdr:row>16</xdr:row>
      <xdr:rowOff>219075</xdr:rowOff>
    </xdr:to>
    <xdr:sp macro="" textlink="">
      <xdr:nvSpPr>
        <xdr:cNvPr id="11" name="Rectangle 10">
          <a:hlinkClick xmlns:r="http://schemas.openxmlformats.org/officeDocument/2006/relationships" r:id="rId10"/>
          <a:extLst>
            <a:ext uri="{FF2B5EF4-FFF2-40B4-BE49-F238E27FC236}">
              <a16:creationId xmlns:a16="http://schemas.microsoft.com/office/drawing/2014/main" id="{00000000-0008-0000-0000-00000B000000}"/>
            </a:ext>
          </a:extLst>
        </xdr:cNvPr>
        <xdr:cNvSpPr/>
      </xdr:nvSpPr>
      <xdr:spPr>
        <a:xfrm>
          <a:off x="552450" y="5010150"/>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17</xdr:row>
      <xdr:rowOff>28575</xdr:rowOff>
    </xdr:from>
    <xdr:to>
      <xdr:col>2</xdr:col>
      <xdr:colOff>1838325</xdr:colOff>
      <xdr:row>17</xdr:row>
      <xdr:rowOff>219075</xdr:rowOff>
    </xdr:to>
    <xdr:sp macro="" textlink="">
      <xdr:nvSpPr>
        <xdr:cNvPr id="12" name="Rectangle 11">
          <a:hlinkClick xmlns:r="http://schemas.openxmlformats.org/officeDocument/2006/relationships" r:id="rId11"/>
          <a:extLst>
            <a:ext uri="{FF2B5EF4-FFF2-40B4-BE49-F238E27FC236}">
              <a16:creationId xmlns:a16="http://schemas.microsoft.com/office/drawing/2014/main" id="{00000000-0008-0000-0000-00000C000000}"/>
            </a:ext>
          </a:extLst>
        </xdr:cNvPr>
        <xdr:cNvSpPr/>
      </xdr:nvSpPr>
      <xdr:spPr>
        <a:xfrm>
          <a:off x="552450" y="5257800"/>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18</xdr:row>
      <xdr:rowOff>9525</xdr:rowOff>
    </xdr:from>
    <xdr:to>
      <xdr:col>2</xdr:col>
      <xdr:colOff>1838325</xdr:colOff>
      <xdr:row>18</xdr:row>
      <xdr:rowOff>200025</xdr:rowOff>
    </xdr:to>
    <xdr:sp macro="" textlink="">
      <xdr:nvSpPr>
        <xdr:cNvPr id="13" name="Rectangle 12">
          <a:hlinkClick xmlns:r="http://schemas.openxmlformats.org/officeDocument/2006/relationships" r:id="rId12"/>
          <a:extLst>
            <a:ext uri="{FF2B5EF4-FFF2-40B4-BE49-F238E27FC236}">
              <a16:creationId xmlns:a16="http://schemas.microsoft.com/office/drawing/2014/main" id="{00000000-0008-0000-0000-00000D000000}"/>
            </a:ext>
          </a:extLst>
        </xdr:cNvPr>
        <xdr:cNvSpPr/>
      </xdr:nvSpPr>
      <xdr:spPr>
        <a:xfrm>
          <a:off x="552450" y="5486400"/>
          <a:ext cx="249555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1057275</xdr:colOff>
      <xdr:row>19</xdr:row>
      <xdr:rowOff>180975</xdr:rowOff>
    </xdr:from>
    <xdr:to>
      <xdr:col>3</xdr:col>
      <xdr:colOff>1676400</xdr:colOff>
      <xdr:row>20</xdr:row>
      <xdr:rowOff>238125</xdr:rowOff>
    </xdr:to>
    <xdr:sp macro="" textlink="">
      <xdr:nvSpPr>
        <xdr:cNvPr id="14" name="Rectangle 13">
          <a:hlinkClick xmlns:r="http://schemas.openxmlformats.org/officeDocument/2006/relationships" r:id="rId13"/>
          <a:extLst>
            <a:ext uri="{FF2B5EF4-FFF2-40B4-BE49-F238E27FC236}">
              <a16:creationId xmlns:a16="http://schemas.microsoft.com/office/drawing/2014/main" id="{00000000-0008-0000-0000-00000E000000}"/>
            </a:ext>
          </a:extLst>
        </xdr:cNvPr>
        <xdr:cNvSpPr/>
      </xdr:nvSpPr>
      <xdr:spPr>
        <a:xfrm>
          <a:off x="2266950" y="5905500"/>
          <a:ext cx="2486025" cy="4762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342900</xdr:colOff>
      <xdr:row>14</xdr:row>
      <xdr:rowOff>45584</xdr:rowOff>
    </xdr:from>
    <xdr:to>
      <xdr:col>15</xdr:col>
      <xdr:colOff>91440</xdr:colOff>
      <xdr:row>19</xdr:row>
      <xdr:rowOff>53340</xdr:rowOff>
    </xdr:to>
    <xdr:pic>
      <xdr:nvPicPr>
        <xdr:cNvPr id="20" name="Picture 19">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Lst>
        </a:blip>
        <a:stretch>
          <a:fillRect/>
        </a:stretch>
      </xdr:blipFill>
      <xdr:spPr>
        <a:xfrm>
          <a:off x="11140440" y="2941184"/>
          <a:ext cx="3497580" cy="1630816"/>
        </a:xfrm>
        <a:prstGeom prst="rect">
          <a:avLst/>
        </a:prstGeom>
        <a:ln>
          <a:solidFill>
            <a:srgbClr val="C00000"/>
          </a:solidFill>
        </a:ln>
      </xdr:spPr>
    </xdr:pic>
    <xdr:clientData/>
  </xdr:twoCellAnchor>
  <xdr:twoCellAnchor editAs="oneCell">
    <xdr:from>
      <xdr:col>10</xdr:col>
      <xdr:colOff>377050</xdr:colOff>
      <xdr:row>3</xdr:row>
      <xdr:rowOff>144780</xdr:rowOff>
    </xdr:from>
    <xdr:to>
      <xdr:col>15</xdr:col>
      <xdr:colOff>91439</xdr:colOff>
      <xdr:row>12</xdr:row>
      <xdr:rowOff>45720</xdr:rowOff>
    </xdr:to>
    <xdr:pic>
      <xdr:nvPicPr>
        <xdr:cNvPr id="21" name="Picture 20">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contrast="20000"/>
                  </a14:imgEffect>
                </a14:imgLayer>
              </a14:imgProps>
            </a:ext>
          </a:extLst>
        </a:blip>
        <a:stretch>
          <a:fillRect/>
        </a:stretch>
      </xdr:blipFill>
      <xdr:spPr>
        <a:xfrm>
          <a:off x="11174590" y="777240"/>
          <a:ext cx="3463429" cy="1760220"/>
        </a:xfrm>
        <a:prstGeom prst="rect">
          <a:avLst/>
        </a:prstGeom>
        <a:ln>
          <a:solidFill>
            <a:srgbClr val="0033CC"/>
          </a:solidFill>
        </a:ln>
      </xdr:spPr>
    </xdr:pic>
    <xdr:clientData/>
  </xdr:twoCellAnchor>
  <xdr:twoCellAnchor editAs="oneCell">
    <xdr:from>
      <xdr:col>10</xdr:col>
      <xdr:colOff>510540</xdr:colOff>
      <xdr:row>20</xdr:row>
      <xdr:rowOff>144780</xdr:rowOff>
    </xdr:from>
    <xdr:to>
      <xdr:col>15</xdr:col>
      <xdr:colOff>559500</xdr:colOff>
      <xdr:row>32</xdr:row>
      <xdr:rowOff>53340</xdr:rowOff>
    </xdr:to>
    <xdr:pic>
      <xdr:nvPicPr>
        <xdr:cNvPr id="22" name="Picture 21">
          <a:extLst>
            <a:ext uri="{FF2B5EF4-FFF2-40B4-BE49-F238E27FC236}">
              <a16:creationId xmlns:a16="http://schemas.microsoft.com/office/drawing/2014/main" id="{00000000-0008-0000-0B00-000016000000}"/>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contrast="40000"/>
                  </a14:imgEffect>
                </a14:imgLayer>
              </a14:imgProps>
            </a:ext>
          </a:extLst>
        </a:blip>
        <a:stretch>
          <a:fillRect/>
        </a:stretch>
      </xdr:blipFill>
      <xdr:spPr>
        <a:xfrm>
          <a:off x="11308080" y="4861560"/>
          <a:ext cx="3798000" cy="2286000"/>
        </a:xfrm>
        <a:prstGeom prst="rect">
          <a:avLst/>
        </a:prstGeom>
        <a:ln>
          <a:solidFill>
            <a:srgbClr val="0033CC"/>
          </a:solidFill>
        </a:ln>
      </xdr:spPr>
    </xdr:pic>
    <xdr:clientData/>
  </xdr:twoCellAnchor>
  <xdr:twoCellAnchor editAs="oneCell">
    <xdr:from>
      <xdr:col>10</xdr:col>
      <xdr:colOff>501469</xdr:colOff>
      <xdr:row>34</xdr:row>
      <xdr:rowOff>127126</xdr:rowOff>
    </xdr:from>
    <xdr:to>
      <xdr:col>15</xdr:col>
      <xdr:colOff>579121</xdr:colOff>
      <xdr:row>45</xdr:row>
      <xdr:rowOff>129540</xdr:rowOff>
    </xdr:to>
    <xdr:pic>
      <xdr:nvPicPr>
        <xdr:cNvPr id="23" name="Picture 22">
          <a:extLst>
            <a:ext uri="{FF2B5EF4-FFF2-40B4-BE49-F238E27FC236}">
              <a16:creationId xmlns:a16="http://schemas.microsoft.com/office/drawing/2014/main" id="{00000000-0008-0000-0B00-000017000000}"/>
            </a:ext>
          </a:extLst>
        </xdr:cNvPr>
        <xdr:cNvPicPr>
          <a:picLocks noChangeAspect="1"/>
        </xdr:cNvPicPr>
      </xdr:nvPicPr>
      <xdr:blipFill>
        <a:blip xmlns:r="http://schemas.openxmlformats.org/officeDocument/2006/relationships" r:embed="rId7">
          <a:extLst>
            <a:ext uri="{BEBA8EAE-BF5A-486C-A8C5-ECC9F3942E4B}">
              <a14:imgProps xmlns:a14="http://schemas.microsoft.com/office/drawing/2010/main">
                <a14:imgLayer r:embed="rId8">
                  <a14:imgEffect>
                    <a14:brightnessContrast contrast="40000"/>
                  </a14:imgEffect>
                </a14:imgLayer>
              </a14:imgProps>
            </a:ext>
          </a:extLst>
        </a:blip>
        <a:stretch>
          <a:fillRect/>
        </a:stretch>
      </xdr:blipFill>
      <xdr:spPr>
        <a:xfrm>
          <a:off x="11299009" y="7617586"/>
          <a:ext cx="3826692" cy="2181734"/>
        </a:xfrm>
        <a:prstGeom prst="rect">
          <a:avLst/>
        </a:prstGeom>
        <a:ln>
          <a:solidFill>
            <a:srgbClr val="C00000"/>
          </a:solid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901700</xdr:colOff>
      <xdr:row>3</xdr:row>
      <xdr:rowOff>292100</xdr:rowOff>
    </xdr:from>
    <xdr:to>
      <xdr:col>7</xdr:col>
      <xdr:colOff>749300</xdr:colOff>
      <xdr:row>4</xdr:row>
      <xdr:rowOff>101600</xdr:rowOff>
    </xdr:to>
    <xdr:sp macro="" textlink="">
      <xdr:nvSpPr>
        <xdr:cNvPr id="3073" name="CommandButtonMatlGasCopy" hidden="1">
          <a:extLst>
            <a:ext uri="{63B3BB69-23CF-44E3-9099-C40C66FF867C}">
              <a14:compatExt xmlns:a14="http://schemas.microsoft.com/office/drawing/2010/main" spid="_x0000_s3073"/>
            </a:ext>
            <a:ext uri="{FF2B5EF4-FFF2-40B4-BE49-F238E27FC236}">
              <a16:creationId xmlns:a16="http://schemas.microsoft.com/office/drawing/2014/main" id="{00000000-0008-0000-0C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6</xdr:col>
      <xdr:colOff>901700</xdr:colOff>
      <xdr:row>5</xdr:row>
      <xdr:rowOff>177800</xdr:rowOff>
    </xdr:from>
    <xdr:to>
      <xdr:col>7</xdr:col>
      <xdr:colOff>749300</xdr:colOff>
      <xdr:row>6</xdr:row>
      <xdr:rowOff>139700</xdr:rowOff>
    </xdr:to>
    <xdr:sp macro="" textlink="">
      <xdr:nvSpPr>
        <xdr:cNvPr id="3074" name="CommandButtonChgGasData" hidden="1">
          <a:extLst>
            <a:ext uri="{63B3BB69-23CF-44E3-9099-C40C66FF867C}">
              <a14:compatExt xmlns:a14="http://schemas.microsoft.com/office/drawing/2010/main" spid="_x0000_s3074"/>
            </a:ext>
            <a:ext uri="{FF2B5EF4-FFF2-40B4-BE49-F238E27FC236}">
              <a16:creationId xmlns:a16="http://schemas.microsoft.com/office/drawing/2014/main" id="{00000000-0008-0000-0C00-00000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6</xdr:col>
      <xdr:colOff>901700</xdr:colOff>
      <xdr:row>8</xdr:row>
      <xdr:rowOff>114300</xdr:rowOff>
    </xdr:from>
    <xdr:to>
      <xdr:col>7</xdr:col>
      <xdr:colOff>749300</xdr:colOff>
      <xdr:row>10</xdr:row>
      <xdr:rowOff>203200</xdr:rowOff>
    </xdr:to>
    <xdr:sp macro="" textlink="">
      <xdr:nvSpPr>
        <xdr:cNvPr id="3075" name="CommandButtonPrintMatl" hidden="1">
          <a:extLst>
            <a:ext uri="{63B3BB69-23CF-44E3-9099-C40C66FF867C}">
              <a14:compatExt xmlns:a14="http://schemas.microsoft.com/office/drawing/2010/main" spid="_x0000_s3075"/>
            </a:ext>
            <a:ext uri="{FF2B5EF4-FFF2-40B4-BE49-F238E27FC236}">
              <a16:creationId xmlns:a16="http://schemas.microsoft.com/office/drawing/2014/main" id="{00000000-0008-0000-0C00-00000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4</xdr:col>
      <xdr:colOff>0</xdr:colOff>
      <xdr:row>7</xdr:row>
      <xdr:rowOff>0</xdr:rowOff>
    </xdr:from>
    <xdr:to>
      <xdr:col>5</xdr:col>
      <xdr:colOff>0</xdr:colOff>
      <xdr:row>8</xdr:row>
      <xdr:rowOff>0</xdr:rowOff>
    </xdr:to>
    <xdr:sp macro="" textlink="">
      <xdr:nvSpPr>
        <xdr:cNvPr id="3076" name="TextBox1" hidden="1">
          <a:extLst>
            <a:ext uri="{63B3BB69-23CF-44E3-9099-C40C66FF867C}">
              <a14:compatExt xmlns:a14="http://schemas.microsoft.com/office/drawing/2010/main" spid="_x0000_s3076"/>
            </a:ext>
            <a:ext uri="{FF2B5EF4-FFF2-40B4-BE49-F238E27FC236}">
              <a16:creationId xmlns:a16="http://schemas.microsoft.com/office/drawing/2014/main" id="{00000000-0008-0000-0C00-0000040C0000}"/>
            </a:ext>
          </a:extLst>
        </xdr:cNvPr>
        <xdr:cNvSpPr/>
      </xdr:nvSpPr>
      <xdr:spPr bwMode="auto">
        <a:xfrm>
          <a:off x="0" y="0"/>
          <a:ext cx="0"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oneCell">
    <xdr:from>
      <xdr:col>4</xdr:col>
      <xdr:colOff>0</xdr:colOff>
      <xdr:row>6</xdr:row>
      <xdr:rowOff>0</xdr:rowOff>
    </xdr:from>
    <xdr:to>
      <xdr:col>5</xdr:col>
      <xdr:colOff>0</xdr:colOff>
      <xdr:row>7</xdr:row>
      <xdr:rowOff>0</xdr:rowOff>
    </xdr:to>
    <xdr:sp macro="" textlink="">
      <xdr:nvSpPr>
        <xdr:cNvPr id="3077" name="TextBox2" hidden="1">
          <a:extLst>
            <a:ext uri="{63B3BB69-23CF-44E3-9099-C40C66FF867C}">
              <a14:compatExt xmlns:a14="http://schemas.microsoft.com/office/drawing/2010/main" spid="_x0000_s3077"/>
            </a:ext>
            <a:ext uri="{FF2B5EF4-FFF2-40B4-BE49-F238E27FC236}">
              <a16:creationId xmlns:a16="http://schemas.microsoft.com/office/drawing/2014/main" id="{00000000-0008-0000-0C00-00000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41</xdr:row>
      <xdr:rowOff>0</xdr:rowOff>
    </xdr:from>
    <xdr:to>
      <xdr:col>5</xdr:col>
      <xdr:colOff>0</xdr:colOff>
      <xdr:row>42</xdr:row>
      <xdr:rowOff>0</xdr:rowOff>
    </xdr:to>
    <xdr:sp macro="" textlink="">
      <xdr:nvSpPr>
        <xdr:cNvPr id="3078" name="TextBox3" hidden="1">
          <a:extLst>
            <a:ext uri="{63B3BB69-23CF-44E3-9099-C40C66FF867C}">
              <a14:compatExt xmlns:a14="http://schemas.microsoft.com/office/drawing/2010/main" spid="_x0000_s3078"/>
            </a:ext>
            <a:ext uri="{FF2B5EF4-FFF2-40B4-BE49-F238E27FC236}">
              <a16:creationId xmlns:a16="http://schemas.microsoft.com/office/drawing/2014/main" id="{00000000-0008-0000-0C00-00000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40</xdr:row>
      <xdr:rowOff>0</xdr:rowOff>
    </xdr:from>
    <xdr:to>
      <xdr:col>5</xdr:col>
      <xdr:colOff>0</xdr:colOff>
      <xdr:row>41</xdr:row>
      <xdr:rowOff>0</xdr:rowOff>
    </xdr:to>
    <xdr:sp macro="" textlink="">
      <xdr:nvSpPr>
        <xdr:cNvPr id="3079" name="TextBox4" hidden="1">
          <a:extLst>
            <a:ext uri="{63B3BB69-23CF-44E3-9099-C40C66FF867C}">
              <a14:compatExt xmlns:a14="http://schemas.microsoft.com/office/drawing/2010/main" spid="_x0000_s3079"/>
            </a:ext>
            <a:ext uri="{FF2B5EF4-FFF2-40B4-BE49-F238E27FC236}">
              <a16:creationId xmlns:a16="http://schemas.microsoft.com/office/drawing/2014/main" id="{00000000-0008-0000-0C00-00000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75</xdr:row>
      <xdr:rowOff>0</xdr:rowOff>
    </xdr:from>
    <xdr:to>
      <xdr:col>5</xdr:col>
      <xdr:colOff>0</xdr:colOff>
      <xdr:row>76</xdr:row>
      <xdr:rowOff>0</xdr:rowOff>
    </xdr:to>
    <xdr:sp macro="" textlink="">
      <xdr:nvSpPr>
        <xdr:cNvPr id="3080" name="TextBox5" hidden="1">
          <a:extLst>
            <a:ext uri="{63B3BB69-23CF-44E3-9099-C40C66FF867C}">
              <a14:compatExt xmlns:a14="http://schemas.microsoft.com/office/drawing/2010/main" spid="_x0000_s3080"/>
            </a:ext>
            <a:ext uri="{FF2B5EF4-FFF2-40B4-BE49-F238E27FC236}">
              <a16:creationId xmlns:a16="http://schemas.microsoft.com/office/drawing/2014/main" id="{00000000-0008-0000-0C00-00000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74</xdr:row>
      <xdr:rowOff>0</xdr:rowOff>
    </xdr:from>
    <xdr:to>
      <xdr:col>5</xdr:col>
      <xdr:colOff>0</xdr:colOff>
      <xdr:row>75</xdr:row>
      <xdr:rowOff>0</xdr:rowOff>
    </xdr:to>
    <xdr:sp macro="" textlink="">
      <xdr:nvSpPr>
        <xdr:cNvPr id="3081" name="TextBox6" hidden="1">
          <a:extLst>
            <a:ext uri="{63B3BB69-23CF-44E3-9099-C40C66FF867C}">
              <a14:compatExt xmlns:a14="http://schemas.microsoft.com/office/drawing/2010/main" spid="_x0000_s3081"/>
            </a:ext>
            <a:ext uri="{FF2B5EF4-FFF2-40B4-BE49-F238E27FC236}">
              <a16:creationId xmlns:a16="http://schemas.microsoft.com/office/drawing/2014/main" id="{00000000-0008-0000-0C00-00000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165100</xdr:colOff>
      <xdr:row>4</xdr:row>
      <xdr:rowOff>215900</xdr:rowOff>
    </xdr:from>
    <xdr:to>
      <xdr:col>1</xdr:col>
      <xdr:colOff>25400</xdr:colOff>
      <xdr:row>17</xdr:row>
      <xdr:rowOff>101600</xdr:rowOff>
    </xdr:to>
    <xdr:sp macro="" textlink="">
      <xdr:nvSpPr>
        <xdr:cNvPr id="3082" name="CommandButtonHelp" hidden="1">
          <a:extLst>
            <a:ext uri="{63B3BB69-23CF-44E3-9099-C40C66FF867C}">
              <a14:compatExt xmlns:a14="http://schemas.microsoft.com/office/drawing/2010/main" spid="_x0000_s3082"/>
            </a:ext>
            <a:ext uri="{FF2B5EF4-FFF2-40B4-BE49-F238E27FC236}">
              <a16:creationId xmlns:a16="http://schemas.microsoft.com/office/drawing/2014/main" id="{00000000-0008-0000-0C00-00000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927100</xdr:colOff>
      <xdr:row>13</xdr:row>
      <xdr:rowOff>25400</xdr:rowOff>
    </xdr:from>
    <xdr:to>
      <xdr:col>7</xdr:col>
      <xdr:colOff>787400</xdr:colOff>
      <xdr:row>15</xdr:row>
      <xdr:rowOff>152400</xdr:rowOff>
    </xdr:to>
    <xdr:sp macro="" textlink="">
      <xdr:nvSpPr>
        <xdr:cNvPr id="3083" name="CommandButton1" hidden="1">
          <a:extLst>
            <a:ext uri="{63B3BB69-23CF-44E3-9099-C40C66FF867C}">
              <a14:compatExt xmlns:a14="http://schemas.microsoft.com/office/drawing/2010/main" spid="_x0000_s3083"/>
            </a:ext>
            <a:ext uri="{FF2B5EF4-FFF2-40B4-BE49-F238E27FC236}">
              <a16:creationId xmlns:a16="http://schemas.microsoft.com/office/drawing/2014/main" id="{00000000-0008-0000-0C00-00000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901700</xdr:colOff>
      <xdr:row>3</xdr:row>
      <xdr:rowOff>292100</xdr:rowOff>
    </xdr:from>
    <xdr:to>
      <xdr:col>7</xdr:col>
      <xdr:colOff>749300</xdr:colOff>
      <xdr:row>4</xdr:row>
      <xdr:rowOff>101600</xdr:rowOff>
    </xdr:to>
    <xdr:pic>
      <xdr:nvPicPr>
        <xdr:cNvPr id="2" name="CommandButtonMatlGasCopy">
          <a:hlinkClick xmlns:r="http://schemas.openxmlformats.org/officeDocument/2006/relationships" r:id="rId1"/>
          <a:extLst>
            <a:ext uri="{FF2B5EF4-FFF2-40B4-BE49-F238E27FC236}">
              <a16:creationId xmlns:a16="http://schemas.microsoft.com/office/drawing/2014/main" id="{1D5E8D13-5F2C-C64E-9767-646F771EA41D}"/>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63100" y="1816100"/>
          <a:ext cx="952500" cy="495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6</xdr:col>
      <xdr:colOff>901700</xdr:colOff>
      <xdr:row>5</xdr:row>
      <xdr:rowOff>177800</xdr:rowOff>
    </xdr:from>
    <xdr:to>
      <xdr:col>7</xdr:col>
      <xdr:colOff>749300</xdr:colOff>
      <xdr:row>6</xdr:row>
      <xdr:rowOff>139700</xdr:rowOff>
    </xdr:to>
    <xdr:pic>
      <xdr:nvPicPr>
        <xdr:cNvPr id="3" name="CommandButtonChgGasData">
          <a:hlinkClick xmlns:r="http://schemas.openxmlformats.org/officeDocument/2006/relationships" r:id="rId1"/>
          <a:extLst>
            <a:ext uri="{FF2B5EF4-FFF2-40B4-BE49-F238E27FC236}">
              <a16:creationId xmlns:a16="http://schemas.microsoft.com/office/drawing/2014/main" id="{22EDA9FE-9758-0A47-BA9E-A35B2C5AA01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63100" y="2628900"/>
          <a:ext cx="952500" cy="495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6</xdr:col>
      <xdr:colOff>901700</xdr:colOff>
      <xdr:row>8</xdr:row>
      <xdr:rowOff>114300</xdr:rowOff>
    </xdr:from>
    <xdr:to>
      <xdr:col>7</xdr:col>
      <xdr:colOff>749300</xdr:colOff>
      <xdr:row>10</xdr:row>
      <xdr:rowOff>203200</xdr:rowOff>
    </xdr:to>
    <xdr:pic>
      <xdr:nvPicPr>
        <xdr:cNvPr id="4" name="CommandButtonPrintMatl">
          <a:hlinkClick xmlns:r="http://schemas.openxmlformats.org/officeDocument/2006/relationships" r:id="rId1"/>
          <a:extLst>
            <a:ext uri="{FF2B5EF4-FFF2-40B4-BE49-F238E27FC236}">
              <a16:creationId xmlns:a16="http://schemas.microsoft.com/office/drawing/2014/main" id="{5B05808C-9A61-AD4F-9D6C-A390078A383C}"/>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63100" y="3695700"/>
          <a:ext cx="952500" cy="546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4</xdr:col>
      <xdr:colOff>0</xdr:colOff>
      <xdr:row>7</xdr:row>
      <xdr:rowOff>0</xdr:rowOff>
    </xdr:from>
    <xdr:to>
      <xdr:col>5</xdr:col>
      <xdr:colOff>0</xdr:colOff>
      <xdr:row>8</xdr:row>
      <xdr:rowOff>0</xdr:rowOff>
    </xdr:to>
    <xdr:pic>
      <xdr:nvPicPr>
        <xdr:cNvPr id="5" name="TextBox1">
          <a:extLst>
            <a:ext uri="{FF2B5EF4-FFF2-40B4-BE49-F238E27FC236}">
              <a16:creationId xmlns:a16="http://schemas.microsoft.com/office/drawing/2014/main" id="{FCE7D446-086C-7142-A21B-B3FB2247C233}"/>
            </a:ext>
          </a:extLst>
        </xdr:cNvPr>
        <xdr:cNvPicPr preferRelativeResize="0">
          <a:picLocks noChangeAspect="1"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42000" y="3327400"/>
          <a:ext cx="1358900" cy="254000"/>
        </a:xfrm>
        <a:prstGeom prst="rect">
          <a:avLst/>
        </a:prstGeom>
        <a:noFill/>
        <a:ln>
          <a:noFill/>
        </a:ln>
        <a:effectLst/>
        <a:extLst>
          <a:ext uri="{91240B29-F687-4F45-9708-019B960494DF}">
            <a14:hiddenLine xmlns:a14="http://schemas.microsoft.com/office/drawing/2010/main" w="9525">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4</xdr:col>
      <xdr:colOff>0</xdr:colOff>
      <xdr:row>6</xdr:row>
      <xdr:rowOff>0</xdr:rowOff>
    </xdr:from>
    <xdr:to>
      <xdr:col>5</xdr:col>
      <xdr:colOff>0</xdr:colOff>
      <xdr:row>7</xdr:row>
      <xdr:rowOff>0</xdr:rowOff>
    </xdr:to>
    <xdr:pic>
      <xdr:nvPicPr>
        <xdr:cNvPr id="6" name="TextBox2">
          <a:extLst>
            <a:ext uri="{FF2B5EF4-FFF2-40B4-BE49-F238E27FC236}">
              <a16:creationId xmlns:a16="http://schemas.microsoft.com/office/drawing/2014/main" id="{C0C2396F-9F92-6F4D-B267-A405FDA4E3E2}"/>
            </a:ext>
          </a:extLst>
        </xdr:cNvPr>
        <xdr:cNvPicPr preferRelativeResize="0">
          <a:picLocks noChangeAspect="1"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842000" y="2984500"/>
          <a:ext cx="13589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0</xdr:colOff>
      <xdr:row>41</xdr:row>
      <xdr:rowOff>0</xdr:rowOff>
    </xdr:from>
    <xdr:to>
      <xdr:col>5</xdr:col>
      <xdr:colOff>0</xdr:colOff>
      <xdr:row>42</xdr:row>
      <xdr:rowOff>0</xdr:rowOff>
    </xdr:to>
    <xdr:pic>
      <xdr:nvPicPr>
        <xdr:cNvPr id="7" name="TextBox3">
          <a:extLst>
            <a:ext uri="{FF2B5EF4-FFF2-40B4-BE49-F238E27FC236}">
              <a16:creationId xmlns:a16="http://schemas.microsoft.com/office/drawing/2014/main" id="{C4A0D22B-F4A5-4C43-8D09-7D24DE05D846}"/>
            </a:ext>
          </a:extLst>
        </xdr:cNvPr>
        <xdr:cNvPicPr preferRelativeResize="0">
          <a:picLocks noChangeAspect="1"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842000" y="10325100"/>
          <a:ext cx="13589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0</xdr:colOff>
      <xdr:row>40</xdr:row>
      <xdr:rowOff>0</xdr:rowOff>
    </xdr:from>
    <xdr:to>
      <xdr:col>5</xdr:col>
      <xdr:colOff>0</xdr:colOff>
      <xdr:row>41</xdr:row>
      <xdr:rowOff>0</xdr:rowOff>
    </xdr:to>
    <xdr:pic>
      <xdr:nvPicPr>
        <xdr:cNvPr id="8" name="TextBox4">
          <a:extLst>
            <a:ext uri="{FF2B5EF4-FFF2-40B4-BE49-F238E27FC236}">
              <a16:creationId xmlns:a16="http://schemas.microsoft.com/office/drawing/2014/main" id="{25310DDD-C5FC-624A-9F71-04939AE5CDBB}"/>
            </a:ext>
          </a:extLst>
        </xdr:cNvPr>
        <xdr:cNvPicPr preferRelativeResize="0">
          <a:picLocks noChangeAspect="1"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42000" y="9982200"/>
          <a:ext cx="13589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0</xdr:colOff>
      <xdr:row>75</xdr:row>
      <xdr:rowOff>0</xdr:rowOff>
    </xdr:from>
    <xdr:to>
      <xdr:col>5</xdr:col>
      <xdr:colOff>0</xdr:colOff>
      <xdr:row>76</xdr:row>
      <xdr:rowOff>0</xdr:rowOff>
    </xdr:to>
    <xdr:pic>
      <xdr:nvPicPr>
        <xdr:cNvPr id="9" name="TextBox5">
          <a:extLst>
            <a:ext uri="{FF2B5EF4-FFF2-40B4-BE49-F238E27FC236}">
              <a16:creationId xmlns:a16="http://schemas.microsoft.com/office/drawing/2014/main" id="{3DD34EAC-5772-2346-A53E-8001A231C8CC}"/>
            </a:ext>
          </a:extLst>
        </xdr:cNvPr>
        <xdr:cNvPicPr preferRelativeResize="0">
          <a:picLocks noChangeAspect="1"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42000" y="15608300"/>
          <a:ext cx="13589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0</xdr:colOff>
      <xdr:row>74</xdr:row>
      <xdr:rowOff>0</xdr:rowOff>
    </xdr:from>
    <xdr:to>
      <xdr:col>5</xdr:col>
      <xdr:colOff>0</xdr:colOff>
      <xdr:row>75</xdr:row>
      <xdr:rowOff>0</xdr:rowOff>
    </xdr:to>
    <xdr:pic>
      <xdr:nvPicPr>
        <xdr:cNvPr id="10" name="TextBox6">
          <a:extLst>
            <a:ext uri="{FF2B5EF4-FFF2-40B4-BE49-F238E27FC236}">
              <a16:creationId xmlns:a16="http://schemas.microsoft.com/office/drawing/2014/main" id="{58C5AFC7-21FE-6A4D-811C-71BE0B55999B}"/>
            </a:ext>
          </a:extLst>
        </xdr:cNvPr>
        <xdr:cNvPicPr preferRelativeResize="0">
          <a:picLocks noChangeAspect="1"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842000" y="15265400"/>
          <a:ext cx="13589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165100</xdr:colOff>
      <xdr:row>4</xdr:row>
      <xdr:rowOff>215900</xdr:rowOff>
    </xdr:from>
    <xdr:to>
      <xdr:col>1</xdr:col>
      <xdr:colOff>25400</xdr:colOff>
      <xdr:row>17</xdr:row>
      <xdr:rowOff>101600</xdr:rowOff>
    </xdr:to>
    <xdr:pic>
      <xdr:nvPicPr>
        <xdr:cNvPr id="11" name="CommandButtonHelp">
          <a:extLst>
            <a:ext uri="{FF2B5EF4-FFF2-40B4-BE49-F238E27FC236}">
              <a16:creationId xmlns:a16="http://schemas.microsoft.com/office/drawing/2014/main" id="{294DD658-60BE-7A4C-A9DA-2CA7B4721C59}"/>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65100" y="2425700"/>
          <a:ext cx="596900" cy="3276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927100</xdr:colOff>
      <xdr:row>13</xdr:row>
      <xdr:rowOff>25400</xdr:rowOff>
    </xdr:from>
    <xdr:to>
      <xdr:col>7</xdr:col>
      <xdr:colOff>787400</xdr:colOff>
      <xdr:row>15</xdr:row>
      <xdr:rowOff>152400</xdr:rowOff>
    </xdr:to>
    <xdr:pic>
      <xdr:nvPicPr>
        <xdr:cNvPr id="12" name="CommandButton1">
          <a:extLst>
            <a:ext uri="{FF2B5EF4-FFF2-40B4-BE49-F238E27FC236}">
              <a16:creationId xmlns:a16="http://schemas.microsoft.com/office/drawing/2014/main" id="{60A74FAB-01E7-3E4E-9C26-B1AADC11B113}"/>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88500" y="4737100"/>
          <a:ext cx="965200" cy="558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419100</xdr:colOff>
      <xdr:row>0</xdr:row>
      <xdr:rowOff>104775</xdr:rowOff>
    </xdr:from>
    <xdr:to>
      <xdr:col>5</xdr:col>
      <xdr:colOff>1828799</xdr:colOff>
      <xdr:row>2</xdr:row>
      <xdr:rowOff>371475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D00-000005000000}"/>
            </a:ext>
          </a:extLst>
        </xdr:cNvPr>
        <xdr:cNvSpPr/>
      </xdr:nvSpPr>
      <xdr:spPr>
        <a:xfrm>
          <a:off x="7791450" y="104775"/>
          <a:ext cx="1409699" cy="66675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5</xdr:col>
      <xdr:colOff>409575</xdr:colOff>
      <xdr:row>2</xdr:row>
      <xdr:rowOff>809625</xdr:rowOff>
    </xdr:from>
    <xdr:to>
      <xdr:col>5</xdr:col>
      <xdr:colOff>1800225</xdr:colOff>
      <xdr:row>5</xdr:row>
      <xdr:rowOff>133350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D00-000006000000}"/>
            </a:ext>
          </a:extLst>
        </xdr:cNvPr>
        <xdr:cNvSpPr/>
      </xdr:nvSpPr>
      <xdr:spPr>
        <a:xfrm>
          <a:off x="7781925" y="1209675"/>
          <a:ext cx="1390650" cy="7239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476250</xdr:colOff>
      <xdr:row>3</xdr:row>
      <xdr:rowOff>0</xdr:rowOff>
    </xdr:from>
    <xdr:to>
      <xdr:col>6</xdr:col>
      <xdr:colOff>1200149</xdr:colOff>
      <xdr:row>5</xdr:row>
      <xdr:rowOff>274320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E00-000005000000}"/>
            </a:ext>
          </a:extLst>
        </xdr:cNvPr>
        <xdr:cNvSpPr/>
      </xdr:nvSpPr>
      <xdr:spPr>
        <a:xfrm>
          <a:off x="7505700" y="609600"/>
          <a:ext cx="1409699" cy="69342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5</xdr:col>
      <xdr:colOff>466725</xdr:colOff>
      <xdr:row>6</xdr:row>
      <xdr:rowOff>142875</xdr:rowOff>
    </xdr:from>
    <xdr:to>
      <xdr:col>6</xdr:col>
      <xdr:colOff>1190625</xdr:colOff>
      <xdr:row>10</xdr:row>
      <xdr:rowOff>28575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E00-000006000000}"/>
            </a:ext>
          </a:extLst>
        </xdr:cNvPr>
        <xdr:cNvSpPr/>
      </xdr:nvSpPr>
      <xdr:spPr>
        <a:xfrm>
          <a:off x="7496175" y="1657350"/>
          <a:ext cx="1409700" cy="6858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419100</xdr:colOff>
      <xdr:row>0</xdr:row>
      <xdr:rowOff>180975</xdr:rowOff>
    </xdr:from>
    <xdr:to>
      <xdr:col>6</xdr:col>
      <xdr:colOff>447675</xdr:colOff>
      <xdr:row>4</xdr:row>
      <xdr:rowOff>76200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7886700" y="180975"/>
          <a:ext cx="1362075" cy="70485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5</xdr:col>
      <xdr:colOff>419100</xdr:colOff>
      <xdr:row>4</xdr:row>
      <xdr:rowOff>304800</xdr:rowOff>
    </xdr:from>
    <xdr:to>
      <xdr:col>6</xdr:col>
      <xdr:colOff>476250</xdr:colOff>
      <xdr:row>7</xdr:row>
      <xdr:rowOff>133350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F00-000005000000}"/>
            </a:ext>
          </a:extLst>
        </xdr:cNvPr>
        <xdr:cNvSpPr/>
      </xdr:nvSpPr>
      <xdr:spPr>
        <a:xfrm>
          <a:off x="7886700" y="1114425"/>
          <a:ext cx="1390650" cy="6858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304800</xdr:colOff>
      <xdr:row>5</xdr:row>
      <xdr:rowOff>0</xdr:rowOff>
    </xdr:from>
    <xdr:to>
      <xdr:col>13</xdr:col>
      <xdr:colOff>342899</xdr:colOff>
      <xdr:row>8</xdr:row>
      <xdr:rowOff>93345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9163050" y="1009650"/>
          <a:ext cx="1409699" cy="69342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11</xdr:col>
      <xdr:colOff>323850</xdr:colOff>
      <xdr:row>10</xdr:row>
      <xdr:rowOff>76200</xdr:rowOff>
    </xdr:from>
    <xdr:to>
      <xdr:col>13</xdr:col>
      <xdr:colOff>342900</xdr:colOff>
      <xdr:row>13</xdr:row>
      <xdr:rowOff>28575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1000-000005000000}"/>
            </a:ext>
          </a:extLst>
        </xdr:cNvPr>
        <xdr:cNvSpPr/>
      </xdr:nvSpPr>
      <xdr:spPr>
        <a:xfrm>
          <a:off x="9182100" y="2276475"/>
          <a:ext cx="1390650" cy="6858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6</xdr:row>
      <xdr:rowOff>0</xdr:rowOff>
    </xdr:from>
    <xdr:to>
      <xdr:col>12</xdr:col>
      <xdr:colOff>38099</xdr:colOff>
      <xdr:row>8</xdr:row>
      <xdr:rowOff>169545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8591550" y="1609725"/>
          <a:ext cx="1409699" cy="69342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10</xdr:col>
      <xdr:colOff>28575</xdr:colOff>
      <xdr:row>10</xdr:row>
      <xdr:rowOff>47625</xdr:rowOff>
    </xdr:from>
    <xdr:to>
      <xdr:col>12</xdr:col>
      <xdr:colOff>47625</xdr:colOff>
      <xdr:row>13</xdr:row>
      <xdr:rowOff>133350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1100-000005000000}"/>
            </a:ext>
          </a:extLst>
        </xdr:cNvPr>
        <xdr:cNvSpPr/>
      </xdr:nvSpPr>
      <xdr:spPr>
        <a:xfrm>
          <a:off x="8772525" y="2581275"/>
          <a:ext cx="1390650" cy="6858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1623060</xdr:colOff>
      <xdr:row>4</xdr:row>
      <xdr:rowOff>167640</xdr:rowOff>
    </xdr:from>
    <xdr:to>
      <xdr:col>1</xdr:col>
      <xdr:colOff>1798320</xdr:colOff>
      <xdr:row>5</xdr:row>
      <xdr:rowOff>259080</xdr:rowOff>
    </xdr:to>
    <xdr:sp macro="" textlink="">
      <xdr:nvSpPr>
        <xdr:cNvPr id="2" name="Down Arrow 1">
          <a:extLst>
            <a:ext uri="{FF2B5EF4-FFF2-40B4-BE49-F238E27FC236}">
              <a16:creationId xmlns:a16="http://schemas.microsoft.com/office/drawing/2014/main" id="{00000000-0008-0000-1200-000002000000}"/>
            </a:ext>
          </a:extLst>
        </xdr:cNvPr>
        <xdr:cNvSpPr/>
      </xdr:nvSpPr>
      <xdr:spPr>
        <a:xfrm>
          <a:off x="2293620" y="769620"/>
          <a:ext cx="175260" cy="297180"/>
        </a:xfrm>
        <a:prstGeom prst="downArrow">
          <a:avLst>
            <a:gd name="adj1" fmla="val 50000"/>
            <a:gd name="adj2" fmla="val 51852"/>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333375</xdr:colOff>
      <xdr:row>4</xdr:row>
      <xdr:rowOff>38100</xdr:rowOff>
    </xdr:from>
    <xdr:to>
      <xdr:col>11</xdr:col>
      <xdr:colOff>371474</xdr:colOff>
      <xdr:row>6</xdr:row>
      <xdr:rowOff>179070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1200-000005000000}"/>
            </a:ext>
          </a:extLst>
        </xdr:cNvPr>
        <xdr:cNvSpPr/>
      </xdr:nvSpPr>
      <xdr:spPr>
        <a:xfrm>
          <a:off x="9220200" y="1562100"/>
          <a:ext cx="1409699" cy="75057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9</xdr:col>
      <xdr:colOff>371475</xdr:colOff>
      <xdr:row>9</xdr:row>
      <xdr:rowOff>47625</xdr:rowOff>
    </xdr:from>
    <xdr:to>
      <xdr:col>11</xdr:col>
      <xdr:colOff>390525</xdr:colOff>
      <xdr:row>11</xdr:row>
      <xdr:rowOff>200025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9258300" y="2838450"/>
          <a:ext cx="1390650" cy="6858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638175</xdr:colOff>
      <xdr:row>4</xdr:row>
      <xdr:rowOff>66675</xdr:rowOff>
    </xdr:from>
    <xdr:to>
      <xdr:col>11</xdr:col>
      <xdr:colOff>676275</xdr:colOff>
      <xdr:row>6</xdr:row>
      <xdr:rowOff>238125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9963150" y="942975"/>
          <a:ext cx="1409700" cy="676275"/>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10</xdr:col>
      <xdr:colOff>0</xdr:colOff>
      <xdr:row>9</xdr:row>
      <xdr:rowOff>0</xdr:rowOff>
    </xdr:from>
    <xdr:to>
      <xdr:col>12</xdr:col>
      <xdr:colOff>19050</xdr:colOff>
      <xdr:row>11</xdr:row>
      <xdr:rowOff>142875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1300-000006000000}"/>
            </a:ext>
          </a:extLst>
        </xdr:cNvPr>
        <xdr:cNvSpPr/>
      </xdr:nvSpPr>
      <xdr:spPr>
        <a:xfrm>
          <a:off x="10010775" y="2295525"/>
          <a:ext cx="1390650" cy="6858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736600</xdr:colOff>
      <xdr:row>22</xdr:row>
      <xdr:rowOff>114300</xdr:rowOff>
    </xdr:from>
    <xdr:to>
      <xdr:col>9</xdr:col>
      <xdr:colOff>101600</xdr:colOff>
      <xdr:row>32</xdr:row>
      <xdr:rowOff>132244</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4521200" y="6134100"/>
          <a:ext cx="3238500" cy="2049944"/>
        </a:xfrm>
        <a:prstGeom prst="rect">
          <a:avLst/>
        </a:prstGeom>
      </xdr:spPr>
    </xdr:pic>
    <xdr:clientData/>
  </xdr:twoCellAnchor>
  <xdr:twoCellAnchor editAs="oneCell">
    <xdr:from>
      <xdr:col>0</xdr:col>
      <xdr:colOff>635000</xdr:colOff>
      <xdr:row>22</xdr:row>
      <xdr:rowOff>114300</xdr:rowOff>
    </xdr:from>
    <xdr:to>
      <xdr:col>3</xdr:col>
      <xdr:colOff>355757</xdr:colOff>
      <xdr:row>32</xdr:row>
      <xdr:rowOff>132244</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635000" y="6134100"/>
          <a:ext cx="3505357" cy="2049944"/>
        </a:xfrm>
        <a:prstGeom prst="rect">
          <a:avLst/>
        </a:prstGeom>
      </xdr:spPr>
    </xdr:pic>
    <xdr:clientData/>
  </xdr:twoCellAnchor>
  <xdr:twoCellAnchor>
    <xdr:from>
      <xdr:col>6</xdr:col>
      <xdr:colOff>0</xdr:colOff>
      <xdr:row>10</xdr:row>
      <xdr:rowOff>0</xdr:rowOff>
    </xdr:from>
    <xdr:to>
      <xdr:col>9</xdr:col>
      <xdr:colOff>228600</xdr:colOff>
      <xdr:row>12</xdr:row>
      <xdr:rowOff>93345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6299200" y="3048000"/>
          <a:ext cx="1587500" cy="741045"/>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6</xdr:col>
      <xdr:colOff>0</xdr:colOff>
      <xdr:row>14</xdr:row>
      <xdr:rowOff>0</xdr:rowOff>
    </xdr:from>
    <xdr:to>
      <xdr:col>9</xdr:col>
      <xdr:colOff>254000</xdr:colOff>
      <xdr:row>16</xdr:row>
      <xdr:rowOff>76200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1400-000006000000}"/>
            </a:ext>
          </a:extLst>
        </xdr:cNvPr>
        <xdr:cNvSpPr/>
      </xdr:nvSpPr>
      <xdr:spPr>
        <a:xfrm>
          <a:off x="6299200" y="4127500"/>
          <a:ext cx="1612900" cy="7366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5</xdr:row>
      <xdr:rowOff>201930</xdr:rowOff>
    </xdr:from>
    <xdr:to>
      <xdr:col>0</xdr:col>
      <xdr:colOff>1781175</xdr:colOff>
      <xdr:row>15</xdr:row>
      <xdr:rowOff>495300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257175" y="2802255"/>
          <a:ext cx="1524000" cy="351282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twoCellAnchor>
    <xdr:from>
      <xdr:col>3</xdr:col>
      <xdr:colOff>257175</xdr:colOff>
      <xdr:row>10</xdr:row>
      <xdr:rowOff>47625</xdr:rowOff>
    </xdr:from>
    <xdr:to>
      <xdr:col>6</xdr:col>
      <xdr:colOff>381000</xdr:colOff>
      <xdr:row>13</xdr:row>
      <xdr:rowOff>590550</xdr:rowOff>
    </xdr:to>
    <xdr:sp macro="" textlink="">
      <xdr:nvSpPr>
        <xdr:cNvPr id="4" name="Arrow: Right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7629525" y="3810000"/>
          <a:ext cx="2181225" cy="1485900"/>
        </a:xfrm>
        <a:prstGeom prst="rightArrow">
          <a:avLst/>
        </a:prstGeom>
        <a:solidFill>
          <a:schemeClr val="accent5">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600" b="1"/>
            <a:t>Calculator</a:t>
          </a:r>
          <a:r>
            <a:rPr lang="en-US" sz="1600" b="1" baseline="0"/>
            <a:t> </a:t>
          </a:r>
          <a:endParaRPr lang="en-US" sz="16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217169</xdr:colOff>
      <xdr:row>29</xdr:row>
      <xdr:rowOff>150359</xdr:rowOff>
    </xdr:from>
    <xdr:ext cx="4329801" cy="2040391"/>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Lst>
        </a:blip>
        <a:stretch>
          <a:fillRect/>
        </a:stretch>
      </xdr:blipFill>
      <xdr:spPr>
        <a:xfrm>
          <a:off x="2274569" y="5951084"/>
          <a:ext cx="4329801" cy="2040391"/>
        </a:xfrm>
        <a:prstGeom prst="rect">
          <a:avLst/>
        </a:prstGeom>
        <a:ln>
          <a:solidFill>
            <a:sysClr val="windowText" lastClr="000000"/>
          </a:solidFill>
        </a:ln>
      </xdr:spPr>
    </xdr:pic>
    <xdr:clientData/>
  </xdr:oneCellAnchor>
  <xdr:oneCellAnchor>
    <xdr:from>
      <xdr:col>3</xdr:col>
      <xdr:colOff>177025</xdr:colOff>
      <xdr:row>3</xdr:row>
      <xdr:rowOff>47625</xdr:rowOff>
    </xdr:from>
    <xdr:ext cx="4364968" cy="2238375"/>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stretch>
          <a:fillRect/>
        </a:stretch>
      </xdr:blipFill>
      <xdr:spPr>
        <a:xfrm>
          <a:off x="2234425" y="647700"/>
          <a:ext cx="4364968" cy="2238375"/>
        </a:xfrm>
        <a:prstGeom prst="rect">
          <a:avLst/>
        </a:prstGeom>
        <a:ln>
          <a:solidFill>
            <a:sysClr val="windowText" lastClr="000000"/>
          </a:solidFill>
        </a:ln>
      </xdr:spPr>
    </xdr:pic>
    <xdr:clientData/>
  </xdr:oneCellAnchor>
  <xdr:oneCellAnchor>
    <xdr:from>
      <xdr:col>3</xdr:col>
      <xdr:colOff>177165</xdr:colOff>
      <xdr:row>14</xdr:row>
      <xdr:rowOff>192405</xdr:rowOff>
    </xdr:from>
    <xdr:ext cx="4367548" cy="2655570"/>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rightnessContrast contrast="40000"/>
                  </a14:imgEffect>
                </a14:imgLayer>
              </a14:imgProps>
            </a:ext>
          </a:extLst>
        </a:blip>
        <a:stretch>
          <a:fillRect/>
        </a:stretch>
      </xdr:blipFill>
      <xdr:spPr>
        <a:xfrm>
          <a:off x="2234565" y="2992755"/>
          <a:ext cx="4367548" cy="2655570"/>
        </a:xfrm>
        <a:prstGeom prst="rect">
          <a:avLst/>
        </a:prstGeom>
        <a:ln>
          <a:solidFill>
            <a:sysClr val="windowText" lastClr="000000"/>
          </a:solidFill>
        </a:ln>
      </xdr:spPr>
    </xdr:pic>
    <xdr:clientData/>
  </xdr:oneCellAnchor>
  <xdr:twoCellAnchor>
    <xdr:from>
      <xdr:col>9</xdr:col>
      <xdr:colOff>676275</xdr:colOff>
      <xdr:row>29</xdr:row>
      <xdr:rowOff>140970</xdr:rowOff>
    </xdr:from>
    <xdr:to>
      <xdr:col>18</xdr:col>
      <xdr:colOff>657225</xdr:colOff>
      <xdr:row>39</xdr:row>
      <xdr:rowOff>133349</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6848475" y="5941695"/>
          <a:ext cx="6343650" cy="199262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Electrical Heating System</a:t>
          </a:r>
          <a:r>
            <a:rPr lang="en-US" sz="1200" b="1" baseline="0">
              <a:solidFill>
                <a:sysClr val="windowText" lastClr="000000"/>
              </a:solidFill>
            </a:rPr>
            <a:t> (Electrotechnology)</a:t>
          </a:r>
          <a:endParaRPr lang="en-US" sz="1200" b="1">
            <a:solidFill>
              <a:sysClr val="windowText" lastClr="000000"/>
            </a:solidFill>
          </a:endParaRPr>
        </a:p>
        <a:p>
          <a:pPr algn="l"/>
          <a:endParaRPr lang="en-US" sz="1200">
            <a:solidFill>
              <a:sysClr val="windowText" lastClr="000000"/>
            </a:solidFill>
          </a:endParaRPr>
        </a:p>
        <a:p>
          <a:pPr algn="l"/>
          <a:r>
            <a:rPr lang="en-US" sz="1200">
              <a:solidFill>
                <a:schemeClr val="tx1"/>
              </a:solidFill>
            </a:rPr>
            <a:t>Electricity has been used extensively as a source of heat for furnaces and ovens ever since electrical power became available to industry.  Electrically produced heat is routinely used for thermal  processes such as heating, drying, curing, melting, and forming, which transform materials into manufactured products. This is achieved by a variety of electric heating systems or technologies commonly referred to as electrotechnologies. These technologies utilize equipment and systems that convert incoming electricity at line voltage to a form of applied energy that can efficiently achieve the necessary thermal treatment of materials.  </a:t>
          </a:r>
        </a:p>
      </xdr:txBody>
    </xdr:sp>
    <xdr:clientData/>
  </xdr:twoCellAnchor>
  <xdr:twoCellAnchor>
    <xdr:from>
      <xdr:col>10</xdr:col>
      <xdr:colOff>0</xdr:colOff>
      <xdr:row>3</xdr:row>
      <xdr:rowOff>24765</xdr:rowOff>
    </xdr:from>
    <xdr:to>
      <xdr:col>19</xdr:col>
      <xdr:colOff>9525</xdr:colOff>
      <xdr:row>14</xdr:row>
      <xdr:rowOff>76200</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6858000" y="624840"/>
          <a:ext cx="6372225" cy="225171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Fuel Fired Heating System </a:t>
          </a:r>
        </a:p>
        <a:p>
          <a:pPr algn="l"/>
          <a:endParaRPr lang="en-US" sz="1200">
            <a:solidFill>
              <a:sysClr val="windowText" lastClr="000000"/>
            </a:solidFill>
          </a:endParaRPr>
        </a:p>
        <a:p>
          <a:pPr algn="l"/>
          <a:r>
            <a:rPr lang="en-US" sz="1200">
              <a:solidFill>
                <a:sysClr val="windowText" lastClr="000000"/>
              </a:solidFill>
            </a:rPr>
            <a:t> Fuel fired system uses combustion of fuels such as natural gas, fuel oil or coal and other combustible materials as source of heat.  In each case, the heating system discharges combustion products commonly known as flue gases that contain Green House Gases such as carbon dioxide and small amount of hydrocarbons.  These systems use conventional heat transfer modes (convection, thermal radiation, thermal conduction etc.) to heat and/or cool the materials being processed.  Heating or thermal processing time for this type of systems depend on type, size and shape of the material together with temperature and any chemical reactions associated with the processing</a:t>
          </a:r>
        </a:p>
      </xdr:txBody>
    </xdr:sp>
    <xdr:clientData/>
  </xdr:twoCellAnchor>
  <xdr:twoCellAnchor>
    <xdr:from>
      <xdr:col>0</xdr:col>
      <xdr:colOff>590550</xdr:colOff>
      <xdr:row>3</xdr:row>
      <xdr:rowOff>28575</xdr:rowOff>
    </xdr:from>
    <xdr:to>
      <xdr:col>3</xdr:col>
      <xdr:colOff>57150</xdr:colOff>
      <xdr:row>39</xdr:row>
      <xdr:rowOff>85725</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00000000-0008-0000-0200-000008000000}"/>
            </a:ext>
          </a:extLst>
        </xdr:cNvPr>
        <xdr:cNvSpPr/>
      </xdr:nvSpPr>
      <xdr:spPr>
        <a:xfrm>
          <a:off x="590550" y="628650"/>
          <a:ext cx="1524000" cy="725805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twoCellAnchor>
    <xdr:from>
      <xdr:col>9</xdr:col>
      <xdr:colOff>676275</xdr:colOff>
      <xdr:row>14</xdr:row>
      <xdr:rowOff>198121</xdr:rowOff>
    </xdr:from>
    <xdr:to>
      <xdr:col>19</xdr:col>
      <xdr:colOff>19051</xdr:colOff>
      <xdr:row>28</xdr:row>
      <xdr:rowOff>57151</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6848475" y="2998471"/>
          <a:ext cx="6391276" cy="265938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Hybrid Heating System </a:t>
          </a:r>
        </a:p>
        <a:p>
          <a:pPr algn="l"/>
          <a:endParaRPr lang="en-US" sz="1200">
            <a:solidFill>
              <a:sysClr val="windowText" lastClr="000000"/>
            </a:solidFill>
          </a:endParaRPr>
        </a:p>
        <a:p>
          <a:pPr algn="l"/>
          <a:r>
            <a:rPr lang="en-US" sz="1200">
              <a:solidFill>
                <a:schemeClr val="tx1"/>
              </a:solidFill>
            </a:rPr>
            <a:t>In many cases, electrotechnologies are used in combination with non-electric heating.  Such systems are called hybrid systems.  A hybrid heating system is one that combines electric heating and another type of heating, such as fuel firing or steam heating, to optimize energy use and increase overall process thermal efficiency. Hybrid heating systems utilize a combination of process heating technologies based on different energy sources and/or different methods of heating the same energy source. Hybrid process heating systems that combine multiple forms of heat transfer through radiant, conductive, and/or convective methods can reduce heating time, increase energy efficiency, and improve product quality.  Examples of hybrid systems include electric infrared in combination with either an electric convection oven or a gas convection oven, and a paper-drying process that combines a natural gas or electric-based infrared technology with a steam-based drum dryer.  </a:t>
          </a:r>
        </a:p>
        <a:p>
          <a:pPr algn="l"/>
          <a:r>
            <a:rPr lang="en-US" sz="1400">
              <a:solidFill>
                <a:sysClr val="windowText" lastClr="000000"/>
              </a:solidFill>
            </a:rPr>
            <a:t> </a:t>
          </a:r>
        </a:p>
      </xdr:txBody>
    </xdr:sp>
    <xdr:clientData/>
  </xdr:twoCellAnchor>
  <xdr:twoCellAnchor>
    <xdr:from>
      <xdr:col>0</xdr:col>
      <xdr:colOff>447675</xdr:colOff>
      <xdr:row>81</xdr:row>
      <xdr:rowOff>352425</xdr:rowOff>
    </xdr:from>
    <xdr:to>
      <xdr:col>2</xdr:col>
      <xdr:colOff>209550</xdr:colOff>
      <xdr:row>83</xdr:row>
      <xdr:rowOff>504824</xdr:rowOff>
    </xdr:to>
    <xdr:sp macro="" textlink="">
      <xdr:nvSpPr>
        <xdr:cNvPr id="14" name="Rectangle 13">
          <a:hlinkClick xmlns:r="http://schemas.openxmlformats.org/officeDocument/2006/relationships" r:id="rId6"/>
          <a:extLst>
            <a:ext uri="{FF2B5EF4-FFF2-40B4-BE49-F238E27FC236}">
              <a16:creationId xmlns:a16="http://schemas.microsoft.com/office/drawing/2014/main" id="{00000000-0008-0000-0200-00000E000000}"/>
            </a:ext>
          </a:extLst>
        </xdr:cNvPr>
        <xdr:cNvSpPr/>
      </xdr:nvSpPr>
      <xdr:spPr>
        <a:xfrm>
          <a:off x="447675" y="28374975"/>
          <a:ext cx="1133475" cy="1295399"/>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twoCellAnchor editAs="oneCell">
    <xdr:from>
      <xdr:col>3</xdr:col>
      <xdr:colOff>395519</xdr:colOff>
      <xdr:row>42</xdr:row>
      <xdr:rowOff>534582</xdr:rowOff>
    </xdr:from>
    <xdr:to>
      <xdr:col>8</xdr:col>
      <xdr:colOff>241946</xdr:colOff>
      <xdr:row>49</xdr:row>
      <xdr:rowOff>249802</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7"/>
        <a:stretch>
          <a:fillRect/>
        </a:stretch>
      </xdr:blipFill>
      <xdr:spPr>
        <a:xfrm>
          <a:off x="2433426" y="9719931"/>
          <a:ext cx="3242939" cy="2964057"/>
        </a:xfrm>
        <a:prstGeom prst="rect">
          <a:avLst/>
        </a:prstGeom>
      </xdr:spPr>
    </xdr:pic>
    <xdr:clientData/>
  </xdr:twoCellAnchor>
  <xdr:twoCellAnchor editAs="oneCell">
    <xdr:from>
      <xdr:col>4</xdr:col>
      <xdr:colOff>137192</xdr:colOff>
      <xdr:row>59</xdr:row>
      <xdr:rowOff>929167</xdr:rowOff>
    </xdr:from>
    <xdr:to>
      <xdr:col>8</xdr:col>
      <xdr:colOff>22891</xdr:colOff>
      <xdr:row>63</xdr:row>
      <xdr:rowOff>423210</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8"/>
        <a:stretch>
          <a:fillRect/>
        </a:stretch>
      </xdr:blipFill>
      <xdr:spPr>
        <a:xfrm>
          <a:off x="2854401" y="17837888"/>
          <a:ext cx="2602909" cy="2078345"/>
        </a:xfrm>
        <a:prstGeom prst="rect">
          <a:avLst/>
        </a:prstGeom>
      </xdr:spPr>
    </xdr:pic>
    <xdr:clientData/>
  </xdr:twoCellAnchor>
  <xdr:twoCellAnchor editAs="oneCell">
    <xdr:from>
      <xdr:col>4</xdr:col>
      <xdr:colOff>137190</xdr:colOff>
      <xdr:row>53</xdr:row>
      <xdr:rowOff>253703</xdr:rowOff>
    </xdr:from>
    <xdr:to>
      <xdr:col>7</xdr:col>
      <xdr:colOff>473593</xdr:colOff>
      <xdr:row>57</xdr:row>
      <xdr:rowOff>143928</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9"/>
        <a:stretch>
          <a:fillRect/>
        </a:stretch>
      </xdr:blipFill>
      <xdr:spPr>
        <a:xfrm>
          <a:off x="2854399" y="14563354"/>
          <a:ext cx="2374310" cy="1765690"/>
        </a:xfrm>
        <a:prstGeom prst="rect">
          <a:avLst/>
        </a:prstGeom>
      </xdr:spPr>
    </xdr:pic>
    <xdr:clientData/>
  </xdr:twoCellAnchor>
  <xdr:twoCellAnchor editAs="oneCell">
    <xdr:from>
      <xdr:col>4</xdr:col>
      <xdr:colOff>194046</xdr:colOff>
      <xdr:row>67</xdr:row>
      <xdr:rowOff>394648</xdr:rowOff>
    </xdr:from>
    <xdr:to>
      <xdr:col>8</xdr:col>
      <xdr:colOff>89271</xdr:colOff>
      <xdr:row>71</xdr:row>
      <xdr:rowOff>576866</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0"/>
        <a:stretch>
          <a:fillRect/>
        </a:stretch>
      </xdr:blipFill>
      <xdr:spPr>
        <a:xfrm>
          <a:off x="2911255" y="21763136"/>
          <a:ext cx="2612435" cy="2057683"/>
        </a:xfrm>
        <a:prstGeom prst="rect">
          <a:avLst/>
        </a:prstGeom>
      </xdr:spPr>
    </xdr:pic>
    <xdr:clientData/>
  </xdr:twoCellAnchor>
  <xdr:twoCellAnchor editAs="oneCell">
    <xdr:from>
      <xdr:col>4</xdr:col>
      <xdr:colOff>412171</xdr:colOff>
      <xdr:row>74</xdr:row>
      <xdr:rowOff>126904</xdr:rowOff>
    </xdr:from>
    <xdr:to>
      <xdr:col>8</xdr:col>
      <xdr:colOff>437790</xdr:colOff>
      <xdr:row>79</xdr:row>
      <xdr:rowOff>132295</xdr:rowOff>
    </xdr:to>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1"/>
        <a:stretch>
          <a:fillRect/>
        </a:stretch>
      </xdr:blipFill>
      <xdr:spPr>
        <a:xfrm>
          <a:off x="3129380" y="25438299"/>
          <a:ext cx="2742829" cy="26782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5</xdr:row>
      <xdr:rowOff>247649</xdr:rowOff>
    </xdr:from>
    <xdr:to>
      <xdr:col>0</xdr:col>
      <xdr:colOff>1381125</xdr:colOff>
      <xdr:row>18</xdr:row>
      <xdr:rowOff>200024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95250" y="1343024"/>
          <a:ext cx="1285875" cy="2828925"/>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twoCellAnchor>
    <xdr:from>
      <xdr:col>10</xdr:col>
      <xdr:colOff>0</xdr:colOff>
      <xdr:row>64</xdr:row>
      <xdr:rowOff>0</xdr:rowOff>
    </xdr:from>
    <xdr:to>
      <xdr:col>12</xdr:col>
      <xdr:colOff>628650</xdr:colOff>
      <xdr:row>70</xdr:row>
      <xdr:rowOff>266700</xdr:rowOff>
    </xdr:to>
    <xdr:sp macro="" textlink="">
      <xdr:nvSpPr>
        <xdr:cNvPr id="5" name="Arrow: Right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12677775" y="14030325"/>
          <a:ext cx="2181225" cy="1485900"/>
        </a:xfrm>
        <a:prstGeom prst="rightArrow">
          <a:avLst/>
        </a:prstGeom>
        <a:solidFill>
          <a:schemeClr val="accent5">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600" b="1"/>
            <a:t>Other</a:t>
          </a:r>
          <a:r>
            <a:rPr lang="en-US" sz="1600" b="1" baseline="0"/>
            <a:t> Impacts</a:t>
          </a:r>
          <a:endParaRPr lang="en-US" sz="1600" b="1"/>
        </a:p>
      </xdr:txBody>
    </xdr:sp>
    <xdr:clientData/>
  </xdr:twoCellAnchor>
  <xdr:twoCellAnchor>
    <xdr:from>
      <xdr:col>6</xdr:col>
      <xdr:colOff>190500</xdr:colOff>
      <xdr:row>71</xdr:row>
      <xdr:rowOff>101600</xdr:rowOff>
    </xdr:from>
    <xdr:to>
      <xdr:col>9</xdr:col>
      <xdr:colOff>60325</xdr:colOff>
      <xdr:row>74</xdr:row>
      <xdr:rowOff>63500</xdr:rowOff>
    </xdr:to>
    <xdr:sp macro="" textlink="">
      <xdr:nvSpPr>
        <xdr:cNvPr id="4" name="Arrow: Right 3">
          <a:hlinkClick xmlns:r="http://schemas.openxmlformats.org/officeDocument/2006/relationships" r:id="rId2"/>
          <a:extLst>
            <a:ext uri="{FF2B5EF4-FFF2-40B4-BE49-F238E27FC236}">
              <a16:creationId xmlns:a16="http://schemas.microsoft.com/office/drawing/2014/main" id="{1BFCCC7E-BFD0-6648-9717-1DD208D4EF58}"/>
            </a:ext>
          </a:extLst>
        </xdr:cNvPr>
        <xdr:cNvSpPr/>
      </xdr:nvSpPr>
      <xdr:spPr>
        <a:xfrm>
          <a:off x="10058400" y="17932400"/>
          <a:ext cx="2181225" cy="571500"/>
        </a:xfrm>
        <a:prstGeom prst="rightArrow">
          <a:avLst/>
        </a:prstGeom>
        <a:solidFill>
          <a:schemeClr val="accent5">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600" b="1"/>
            <a:t>Other Impacts </a:t>
          </a:r>
        </a:p>
      </xdr:txBody>
    </xdr:sp>
    <xdr:clientData/>
  </xdr:twoCellAnchor>
  <xdr:twoCellAnchor>
    <xdr:from>
      <xdr:col>0</xdr:col>
      <xdr:colOff>88900</xdr:colOff>
      <xdr:row>21</xdr:row>
      <xdr:rowOff>12701</xdr:rowOff>
    </xdr:from>
    <xdr:to>
      <xdr:col>0</xdr:col>
      <xdr:colOff>1374775</xdr:colOff>
      <xdr:row>23</xdr:row>
      <xdr:rowOff>38101</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D1857D2C-1436-F94A-ABD7-B4DB7BEC899D}"/>
            </a:ext>
          </a:extLst>
        </xdr:cNvPr>
        <xdr:cNvSpPr/>
      </xdr:nvSpPr>
      <xdr:spPr>
        <a:xfrm>
          <a:off x="88900" y="5638801"/>
          <a:ext cx="1285875" cy="8890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Cost Report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9</xdr:row>
      <xdr:rowOff>314325</xdr:rowOff>
    </xdr:from>
    <xdr:to>
      <xdr:col>1</xdr:col>
      <xdr:colOff>619125</xdr:colOff>
      <xdr:row>21</xdr:row>
      <xdr:rowOff>400050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04775" y="3076575"/>
          <a:ext cx="1200150" cy="584835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twoCellAnchor>
    <xdr:from>
      <xdr:col>12</xdr:col>
      <xdr:colOff>0</xdr:colOff>
      <xdr:row>24</xdr:row>
      <xdr:rowOff>0</xdr:rowOff>
    </xdr:from>
    <xdr:to>
      <xdr:col>15</xdr:col>
      <xdr:colOff>123825</xdr:colOff>
      <xdr:row>26</xdr:row>
      <xdr:rowOff>342900</xdr:rowOff>
    </xdr:to>
    <xdr:sp macro="" textlink="">
      <xdr:nvSpPr>
        <xdr:cNvPr id="4" name="Arrow: Right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401175" y="9982200"/>
          <a:ext cx="2181225" cy="1485900"/>
        </a:xfrm>
        <a:prstGeom prst="rightArrow">
          <a:avLst/>
        </a:prstGeom>
        <a:solidFill>
          <a:schemeClr val="accent5">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600" b="1"/>
            <a:t>Cost Report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16</xdr:row>
      <xdr:rowOff>0</xdr:rowOff>
    </xdr:from>
    <xdr:to>
      <xdr:col>9</xdr:col>
      <xdr:colOff>590549</xdr:colOff>
      <xdr:row>19</xdr:row>
      <xdr:rowOff>55245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419850" y="4838700"/>
          <a:ext cx="1409699" cy="65532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1126886</xdr:colOff>
      <xdr:row>70</xdr:row>
      <xdr:rowOff>56398</xdr:rowOff>
    </xdr:from>
    <xdr:to>
      <xdr:col>4</xdr:col>
      <xdr:colOff>1057274</xdr:colOff>
      <xdr:row>91</xdr:row>
      <xdr:rowOff>9525</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8166</xdr:colOff>
      <xdr:row>40</xdr:row>
      <xdr:rowOff>142604</xdr:rowOff>
    </xdr:from>
    <xdr:to>
      <xdr:col>4</xdr:col>
      <xdr:colOff>340178</xdr:colOff>
      <xdr:row>65</xdr:row>
      <xdr:rowOff>163284</xdr:rowOff>
    </xdr:to>
    <xdr:graphicFrame macro="">
      <xdr:nvGraphicFramePr>
        <xdr:cNvPr id="7" name="Chart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449580</xdr:colOff>
      <xdr:row>40</xdr:row>
      <xdr:rowOff>108858</xdr:rowOff>
    </xdr:from>
    <xdr:to>
      <xdr:col>13</xdr:col>
      <xdr:colOff>272143</xdr:colOff>
      <xdr:row>65</xdr:row>
      <xdr:rowOff>176892</xdr:rowOff>
    </xdr:to>
    <xdr:graphicFrame macro="">
      <xdr:nvGraphicFramePr>
        <xdr:cNvPr id="8" name="Chart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1409156</xdr:colOff>
      <xdr:row>66</xdr:row>
      <xdr:rowOff>100711</xdr:rowOff>
    </xdr:from>
    <xdr:ext cx="3482340" cy="448456"/>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2089513" y="14088854"/>
          <a:ext cx="3482340" cy="448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200">
              <a:latin typeface="Arial Rounded MT Bold" panose="020F0704030504030204" pitchFamily="34" charset="0"/>
            </a:rPr>
            <a:t>Cost Breakdown for Fuel Fired System</a:t>
          </a:r>
        </a:p>
        <a:p>
          <a:pPr algn="ctr"/>
          <a:r>
            <a:rPr lang="en-US" sz="1200">
              <a:latin typeface="Arial Rounded MT Bold" panose="020F0704030504030204" pitchFamily="34" charset="0"/>
            </a:rPr>
            <a:t>Cost</a:t>
          </a:r>
          <a:r>
            <a:rPr lang="en-US" sz="1200" baseline="0">
              <a:latin typeface="Arial Rounded MT Bold" panose="020F0704030504030204" pitchFamily="34" charset="0"/>
            </a:rPr>
            <a:t> per unit of production </a:t>
          </a:r>
          <a:endParaRPr lang="en-US" sz="1200">
            <a:latin typeface="Arial Rounded MT Bold" panose="020F0704030504030204" pitchFamily="34" charset="0"/>
          </a:endParaRPr>
        </a:p>
      </xdr:txBody>
    </xdr:sp>
    <xdr:clientData/>
  </xdr:oneCellAnchor>
  <xdr:oneCellAnchor>
    <xdr:from>
      <xdr:col>5</xdr:col>
      <xdr:colOff>508664</xdr:colOff>
      <xdr:row>66</xdr:row>
      <xdr:rowOff>96883</xdr:rowOff>
    </xdr:from>
    <xdr:ext cx="4539576" cy="448456"/>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8632128" y="14085026"/>
          <a:ext cx="4539576" cy="448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200">
              <a:latin typeface="Arial Rounded MT Bold" panose="020F0704030504030204" pitchFamily="34" charset="0"/>
            </a:rPr>
            <a:t>Cost Breakdown for Hybrid (Electrical + fuel Fired) System</a:t>
          </a:r>
        </a:p>
        <a:p>
          <a:pPr algn="ctr"/>
          <a:r>
            <a:rPr lang="en-US" sz="1200">
              <a:latin typeface="Arial Rounded MT Bold" panose="020F0704030504030204" pitchFamily="34" charset="0"/>
            </a:rPr>
            <a:t>Cost</a:t>
          </a:r>
          <a:r>
            <a:rPr lang="en-US" sz="1200" baseline="0">
              <a:latin typeface="Arial Rounded MT Bold" panose="020F0704030504030204" pitchFamily="34" charset="0"/>
            </a:rPr>
            <a:t> per unit of production </a:t>
          </a:r>
          <a:endParaRPr lang="en-US" sz="1200">
            <a:latin typeface="Arial Rounded MT Bold" panose="020F0704030504030204" pitchFamily="34" charset="0"/>
          </a:endParaRPr>
        </a:p>
      </xdr:txBody>
    </xdr:sp>
    <xdr:clientData/>
  </xdr:oneCellAnchor>
  <xdr:twoCellAnchor>
    <xdr:from>
      <xdr:col>0</xdr:col>
      <xdr:colOff>122464</xdr:colOff>
      <xdr:row>49</xdr:row>
      <xdr:rowOff>190500</xdr:rowOff>
    </xdr:from>
    <xdr:to>
      <xdr:col>0</xdr:col>
      <xdr:colOff>979714</xdr:colOff>
      <xdr:row>63</xdr:row>
      <xdr:rowOff>149678</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00000000-0008-0000-0800-00000A000000}"/>
            </a:ext>
          </a:extLst>
        </xdr:cNvPr>
        <xdr:cNvSpPr/>
      </xdr:nvSpPr>
      <xdr:spPr>
        <a:xfrm>
          <a:off x="122464" y="10708821"/>
          <a:ext cx="857250" cy="2816678"/>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twoCellAnchor>
    <xdr:from>
      <xdr:col>11</xdr:col>
      <xdr:colOff>561975</xdr:colOff>
      <xdr:row>9</xdr:row>
      <xdr:rowOff>0</xdr:rowOff>
    </xdr:from>
    <xdr:to>
      <xdr:col>13</xdr:col>
      <xdr:colOff>600074</xdr:colOff>
      <xdr:row>11</xdr:row>
      <xdr:rowOff>7620</xdr:rowOff>
    </xdr:to>
    <xdr:sp macro="" textlink="">
      <xdr:nvSpPr>
        <xdr:cNvPr id="11" name="Rectangle 10">
          <a:hlinkClick xmlns:r="http://schemas.openxmlformats.org/officeDocument/2006/relationships" r:id="rId5"/>
          <a:extLst>
            <a:ext uri="{FF2B5EF4-FFF2-40B4-BE49-F238E27FC236}">
              <a16:creationId xmlns:a16="http://schemas.microsoft.com/office/drawing/2014/main" id="{00000000-0008-0000-0800-00000B000000}"/>
            </a:ext>
          </a:extLst>
        </xdr:cNvPr>
        <xdr:cNvSpPr/>
      </xdr:nvSpPr>
      <xdr:spPr>
        <a:xfrm>
          <a:off x="12582525" y="2324100"/>
          <a:ext cx="1409699" cy="69342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0</xdr:col>
      <xdr:colOff>123825</xdr:colOff>
      <xdr:row>104</xdr:row>
      <xdr:rowOff>304800</xdr:rowOff>
    </xdr:from>
    <xdr:to>
      <xdr:col>0</xdr:col>
      <xdr:colOff>981075</xdr:colOff>
      <xdr:row>113</xdr:row>
      <xdr:rowOff>235403</xdr:rowOff>
    </xdr:to>
    <xdr:sp macro="" textlink="">
      <xdr:nvSpPr>
        <xdr:cNvPr id="12" name="Rectangle 11">
          <a:hlinkClick xmlns:r="http://schemas.openxmlformats.org/officeDocument/2006/relationships" r:id="rId6"/>
          <a:extLst>
            <a:ext uri="{FF2B5EF4-FFF2-40B4-BE49-F238E27FC236}">
              <a16:creationId xmlns:a16="http://schemas.microsoft.com/office/drawing/2014/main" id="{00000000-0008-0000-0800-00000C000000}"/>
            </a:ext>
          </a:extLst>
        </xdr:cNvPr>
        <xdr:cNvSpPr/>
      </xdr:nvSpPr>
      <xdr:spPr>
        <a:xfrm>
          <a:off x="123825" y="24888825"/>
          <a:ext cx="857250" cy="2759528"/>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Other Impacts</a:t>
          </a:r>
          <a:endParaRPr lang="en-US" sz="1400" b="1">
            <a:solidFill>
              <a:schemeClr val="tx1"/>
            </a:solidFill>
          </a:endParaRPr>
        </a:p>
      </xdr:txBody>
    </xdr:sp>
    <xdr:clientData/>
  </xdr:twoCellAnchor>
  <xdr:twoCellAnchor>
    <xdr:from>
      <xdr:col>12</xdr:col>
      <xdr:colOff>104775</xdr:colOff>
      <xdr:row>96</xdr:row>
      <xdr:rowOff>19050</xdr:rowOff>
    </xdr:from>
    <xdr:to>
      <xdr:col>13</xdr:col>
      <xdr:colOff>828674</xdr:colOff>
      <xdr:row>98</xdr:row>
      <xdr:rowOff>312420</xdr:rowOff>
    </xdr:to>
    <xdr:sp macro="" textlink="">
      <xdr:nvSpPr>
        <xdr:cNvPr id="13" name="Rectangle 12">
          <a:hlinkClick xmlns:r="http://schemas.openxmlformats.org/officeDocument/2006/relationships" r:id="rId5"/>
          <a:extLst>
            <a:ext uri="{FF2B5EF4-FFF2-40B4-BE49-F238E27FC236}">
              <a16:creationId xmlns:a16="http://schemas.microsoft.com/office/drawing/2014/main" id="{00000000-0008-0000-0800-00000D000000}"/>
            </a:ext>
          </a:extLst>
        </xdr:cNvPr>
        <xdr:cNvSpPr/>
      </xdr:nvSpPr>
      <xdr:spPr>
        <a:xfrm>
          <a:off x="12811125" y="22231350"/>
          <a:ext cx="1409699" cy="69342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4</xdr:col>
      <xdr:colOff>1085850</xdr:colOff>
      <xdr:row>70</xdr:row>
      <xdr:rowOff>47624</xdr:rowOff>
    </xdr:from>
    <xdr:to>
      <xdr:col>13</xdr:col>
      <xdr:colOff>371475</xdr:colOff>
      <xdr:row>91</xdr:row>
      <xdr:rowOff>9525</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409575</xdr:colOff>
      <xdr:row>3</xdr:row>
      <xdr:rowOff>152400</xdr:rowOff>
    </xdr:from>
    <xdr:to>
      <xdr:col>10</xdr:col>
      <xdr:colOff>1819274</xdr:colOff>
      <xdr:row>5</xdr:row>
      <xdr:rowOff>369570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13268325" y="1228725"/>
          <a:ext cx="1409699" cy="65532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10</xdr:col>
      <xdr:colOff>438151</xdr:colOff>
      <xdr:row>8</xdr:row>
      <xdr:rowOff>133351</xdr:rowOff>
    </xdr:from>
    <xdr:to>
      <xdr:col>10</xdr:col>
      <xdr:colOff>1828801</xdr:colOff>
      <xdr:row>11</xdr:row>
      <xdr:rowOff>133351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13182601" y="2657476"/>
          <a:ext cx="1390650" cy="6858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533400</xdr:colOff>
      <xdr:row>3</xdr:row>
      <xdr:rowOff>19050</xdr:rowOff>
    </xdr:from>
    <xdr:to>
      <xdr:col>7</xdr:col>
      <xdr:colOff>571499</xdr:colOff>
      <xdr:row>6</xdr:row>
      <xdr:rowOff>102870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496050" y="619125"/>
          <a:ext cx="1409699" cy="683895"/>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Calculator</a:t>
          </a:r>
          <a:endParaRPr lang="en-US" sz="1400" b="1">
            <a:solidFill>
              <a:schemeClr val="tx1"/>
            </a:solidFill>
          </a:endParaRPr>
        </a:p>
      </xdr:txBody>
    </xdr:sp>
    <xdr:clientData/>
  </xdr:twoCellAnchor>
  <xdr:twoCellAnchor>
    <xdr:from>
      <xdr:col>5</xdr:col>
      <xdr:colOff>581025</xdr:colOff>
      <xdr:row>7</xdr:row>
      <xdr:rowOff>171450</xdr:rowOff>
    </xdr:from>
    <xdr:to>
      <xdr:col>7</xdr:col>
      <xdr:colOff>600075</xdr:colOff>
      <xdr:row>11</xdr:row>
      <xdr:rowOff>47625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A00-000006000000}"/>
            </a:ext>
          </a:extLst>
        </xdr:cNvPr>
        <xdr:cNvSpPr/>
      </xdr:nvSpPr>
      <xdr:spPr>
        <a:xfrm>
          <a:off x="6781800" y="1685925"/>
          <a:ext cx="1390650" cy="685800"/>
        </a:xfrm>
        <a:prstGeom prst="rect">
          <a:avLst/>
        </a:prstGeom>
        <a:solidFill>
          <a:schemeClr val="accent5">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Back</a:t>
          </a:r>
          <a:r>
            <a:rPr lang="en-US" sz="1400" b="1" baseline="0">
              <a:solidFill>
                <a:schemeClr val="tx1"/>
              </a:solidFill>
            </a:rPr>
            <a:t> to Control Page</a:t>
          </a:r>
          <a:endParaRPr lang="en-US" sz="1400" b="1">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66/Desktop/Now%20Working/PEPEx-%20Language%20Change/PEPEx%20Tool_Unlock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struction"/>
      <sheetName val="Basic Info "/>
      <sheetName val="Energy &amp; Production "/>
      <sheetName val="Energy Use System"/>
      <sheetName val="Energy Saving Opportunities"/>
      <sheetName val="CHP"/>
      <sheetName val="Compressed Air"/>
      <sheetName val="Process Cooling &amp; Refrigeration"/>
      <sheetName val="Process Heating"/>
      <sheetName val="Pumps"/>
      <sheetName val="Steam Generation Equipment"/>
      <sheetName val="Results"/>
      <sheetName val="Tutorial"/>
      <sheetName val="Energy Breakdown Calculations"/>
      <sheetName val="List"/>
      <sheetName val="Named List"/>
      <sheetName val="Energy Management Opportunity"/>
      <sheetName val="NAICS Data-Base"/>
      <sheetName val="Conversions"/>
      <sheetName val="Translation "/>
      <sheetName val="PEPEx Tool_Unlock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7E2C8C-E2E0-4134-870E-90D485D8F087}" name="Table2" displayName="Table2" ref="D2:D75" totalsRowShown="0">
  <autoFilter ref="D2:D75" xr:uid="{33E7C7CB-A8D3-49BF-81A3-92A6889DFE91}"/>
  <tableColumns count="1">
    <tableColumn id="1" xr3:uid="{DDC5732E-D949-40D2-9968-33EEA9901C5E}" name="311  Food Manufacturing"/>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0151A58-B219-4358-8DC4-267E737E72BA}" name="Table11" displayName="Table11" ref="M2:M11" totalsRowShown="0" headerRowDxfId="35" dataDxfId="34" headerRowCellStyle="Normal 2 2" dataCellStyle="Normal 2 2">
  <autoFilter ref="M2:M11" xr:uid="{BAC07DC2-6DB1-44F5-B339-5FA5717AE7FF}"/>
  <tableColumns count="1">
    <tableColumn id="1" xr3:uid="{3012B1DA-7839-4414-89A1-C76ED6076FA4}" name="324  Petroleum and Coal Products Manufacturing" dataDxfId="33" dataCellStyle="Normal 2 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E8B3570-9D10-4B54-8A86-D36D17B1F2EA}" name="Table12" displayName="Table12" ref="N2:N55" totalsRowShown="0" headerRowDxfId="32" dataDxfId="31" headerRowCellStyle="Normal 2 2" dataCellStyle="Normal 2 2">
  <autoFilter ref="N2:N55" xr:uid="{60E6A7EE-C4E0-4F59-ADE9-BCE06A1AB7F4}"/>
  <tableColumns count="1">
    <tableColumn id="1" xr3:uid="{FAC4341E-7722-41F4-A2E3-B63D93E6687B}" name="325  Chemical Manufacturing" dataDxfId="30" dataCellStyle="Normal 2 2"/>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B044ED-0709-47F5-98A0-F3755AE8CB59}" name="Table13" displayName="Table13" ref="O2:O30" totalsRowShown="0" headerRowDxfId="29" dataDxfId="28" headerRowCellStyle="Normal 2 2" dataCellStyle="Normal 2 2">
  <autoFilter ref="O2:O30" xr:uid="{7755FB9B-BA45-46D4-A357-DA738EFA06F9}"/>
  <tableColumns count="1">
    <tableColumn id="1" xr3:uid="{F96239BB-5BCA-46DF-B3F6-011F4D5D8BEA}" name="326  Plastics and Rubber Products Manufacturing" dataDxfId="27" dataCellStyle="Normal 2 2"/>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2CD606C-5EFC-4B76-B71D-E3F5CFC89FE8}" name="Table14" displayName="Table14" ref="P2:P36" totalsRowShown="0" headerRowDxfId="26" dataDxfId="25" headerRowCellStyle="Normal 2 2" dataCellStyle="Normal 2 2">
  <autoFilter ref="P2:P36" xr:uid="{BD202C52-A328-42D0-90E3-859D04FF0CB9}"/>
  <tableColumns count="1">
    <tableColumn id="1" xr3:uid="{A34A43D9-CDAA-40D5-98D7-EEB99FDD36D3}" name="327  Nonmetallic Mineral Product Manufacturing" dataDxfId="24" dataCellStyle="Normal 2 2"/>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15ED608-0464-4116-802A-AE327AA0D144}" name="Table15" displayName="Table15" ref="Q2:Q34" totalsRowShown="0" headerRowDxfId="23" dataDxfId="22" headerRowCellStyle="Normal 2 2" dataCellStyle="Normal 2 2">
  <autoFilter ref="Q2:Q34" xr:uid="{E5345F9C-F95E-4E98-8942-646836F5C236}"/>
  <tableColumns count="1">
    <tableColumn id="1" xr3:uid="{B4BDA3C0-14B3-49D8-A1FF-A3B6EE7DD067}" name="331  Primary Metal Manufacturing" dataDxfId="21" dataCellStyle="Normal 2 2"/>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62E4BBD-0E69-4240-ABBC-CA959A1570E7}" name="Table16" displayName="Table16" ref="R2:R61" totalsRowShown="0" headerRowDxfId="20" dataDxfId="19" headerRowCellStyle="Normal 2 2" dataCellStyle="Normal 2 2">
  <autoFilter ref="R2:R61" xr:uid="{BB2A7654-3E1E-4E83-87A4-46184B9910CA}"/>
  <tableColumns count="1">
    <tableColumn id="1" xr3:uid="{41A2D825-706F-453D-868E-04DF8EA8B627}" name="332  Fabricated Metal Product Manufacturing" dataDxfId="18" dataCellStyle="Normal 2 2"/>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385723B-EBAC-4B09-ADFA-36DED594BCB1}" name="Table17" displayName="Table17" ref="S2:S59" totalsRowShown="0" headerRowDxfId="17" dataDxfId="16" headerRowCellStyle="Normal 2 2" dataCellStyle="Normal 2 2">
  <autoFilter ref="S2:S59" xr:uid="{F85C29DF-7099-4A93-8AA0-FC257AB35CA2}"/>
  <tableColumns count="1">
    <tableColumn id="1" xr3:uid="{70044A50-A7A3-4A07-856D-6696C4C225FA}" name="333  Machinery Manufacturing" dataDxfId="15" dataCellStyle="Normal 2 2"/>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36F5B4A-FAA7-4D54-A4F1-2B5DABC8B18D}" name="Table18" displayName="Table18" ref="T2:T40" totalsRowShown="0" headerRowDxfId="14" dataDxfId="13" headerRowCellStyle="Normal 2 2" dataCellStyle="Normal 2 2">
  <autoFilter ref="T2:T40" xr:uid="{5C159DD4-F969-4F19-A73F-7EC50B9659A8}"/>
  <tableColumns count="1">
    <tableColumn id="1" xr3:uid="{D6EB2A00-823F-4877-B9C4-E327AB6E4DA9}" name="334  Computer and Electronic Product Manufacturing" dataDxfId="12" dataCellStyle="Normal 2 2"/>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64ECF9D-F65B-450A-8D34-6253BBAE352B}" name="Table19" displayName="Table19" ref="U2:U33" totalsRowShown="0" headerRowDxfId="11" dataDxfId="10" headerRowCellStyle="Normal 2 2" dataCellStyle="Normal 2 2">
  <autoFilter ref="U2:U33" xr:uid="{A6BE4D36-209A-46EC-87C2-1295121DCDEC}"/>
  <tableColumns count="1">
    <tableColumn id="1" xr3:uid="{DFA18D38-49F3-4F44-B82B-1BD5021FCA79}" name="335  Electrical Equipment, Appliance, and Component Manufacturing" dataDxfId="9" dataCellStyle="Normal 2 2"/>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6DB72F5-0EB3-4D61-B986-7F3737EBFEED}" name="Table20" displayName="Table20" ref="V2:V51" totalsRowShown="0" headerRowDxfId="8" dataDxfId="7" headerRowCellStyle="Normal 2 2" dataCellStyle="Normal 2 2">
  <autoFilter ref="V2:V51" xr:uid="{9F66993F-4F3E-4D47-9043-BD3E9CA70697}"/>
  <tableColumns count="1">
    <tableColumn id="1" xr3:uid="{04F50073-8F68-439D-B70D-A20DFF69990F}" name="336  Transportation Equipment Manufacturing" dataDxfId="6" dataCellStyle="Normal 2 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5733E8-5897-4527-B900-0434F1FF31F5}" name="Table3" displayName="Table3" ref="E2:E16" totalsRowShown="0" headerRowDxfId="59" dataDxfId="58" headerRowCellStyle="Normal 2 2" dataCellStyle="Normal 2 2">
  <autoFilter ref="E2:E16" xr:uid="{874024B9-08A1-4D66-979E-70B4A0FF1154}"/>
  <tableColumns count="1">
    <tableColumn id="1" xr3:uid="{35B91318-9262-4BC8-A891-757E43C02938}" name="312  Beverage and Tobacco Product Manufacturing" dataDxfId="57" dataCellStyle="Normal 2 2"/>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AF0747A-3ABE-4FA6-BDA2-22C675442D57}" name="Table21" displayName="Table21" ref="W2:W22" totalsRowShown="0" headerRowDxfId="5" dataDxfId="4" headerRowCellStyle="Normal 2 2" dataCellStyle="Normal 2 2">
  <autoFilter ref="W2:W22" xr:uid="{606B8EE1-FAE5-4991-91DF-7A00E0879479}"/>
  <tableColumns count="1">
    <tableColumn id="1" xr3:uid="{55D4B973-7AC4-453E-95BD-9B04BB8E2F5C}" name="337  Furniture and Related Product Manufacturing" dataDxfId="3" dataCellStyle="Normal 2 2"/>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18E6341-C7DB-45D0-BAB7-194B823F2DBD}" name="Table22" displayName="Table22" ref="X2:X28" totalsRowShown="0" headerRowDxfId="2" dataDxfId="1" headerRowCellStyle="Normal 2 2" dataCellStyle="Normal 2 2">
  <autoFilter ref="X2:X28" xr:uid="{2DCD1E7E-9A86-40F2-B1FD-BCDB584F246A}"/>
  <tableColumns count="1">
    <tableColumn id="1" xr3:uid="{522E1FD5-7B61-4333-AEE4-CCCCE841641F}" name="339  Miscellaneous Manufacturing" dataDxfId="0" dataCellStyle="Normal 2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B84BC2B-9F78-406D-BBFF-7D5BAA584A6C}" name="Table4" displayName="Table4" ref="F2:F19" totalsRowShown="0" headerRowDxfId="56" dataDxfId="55" headerRowCellStyle="Normal 2 2" dataCellStyle="Normal 2 2">
  <autoFilter ref="F2:F19" xr:uid="{48B17DB1-9480-44E9-AB37-BD75F0EE469F}"/>
  <tableColumns count="1">
    <tableColumn id="1" xr3:uid="{7CB83B41-D547-4D0F-8CBA-23F5347DF2C1}" name="313  Textile Mills" dataDxfId="54" dataCellStyle="Normal 2 2"/>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67B31E1-3DCA-4AAA-89D2-39AB965F37F8}" name="Table5" displayName="Table5" ref="G2:G13" totalsRowShown="0" headerRowDxfId="53" dataDxfId="52" headerRowCellStyle="Normal 2 2" dataCellStyle="Normal 2 2">
  <autoFilter ref="G2:G13" xr:uid="{1B043000-18A5-4928-9827-266D3E0406EF}"/>
  <tableColumns count="1">
    <tableColumn id="1" xr3:uid="{4224AA0C-A742-41FB-BFD5-EDAE1094AE66}" name="314  Textile Product Mills" dataDxfId="51" dataCellStyle="Normal 2 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B55D3B-E035-43E6-9B12-01DE6C20025D}" name="Table6" displayName="Table6" ref="H2:H19" totalsRowShown="0" headerRowDxfId="50" dataDxfId="49" headerRowCellStyle="Normal 2 2" dataCellStyle="Normal 2 2">
  <autoFilter ref="H2:H19" xr:uid="{19C2DF70-1116-47EC-AEE3-0474080F8DC9}"/>
  <tableColumns count="1">
    <tableColumn id="1" xr3:uid="{0EB796B5-88E4-4FDF-AC50-63E0E2BAEBAB}" name="315  Apparel Manufacturing" dataDxfId="48" dataCellStyle="Normal 2 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E7A240F-43B2-478F-92C3-02B559809129}" name="Table7" displayName="Table7" ref="I2:I12" totalsRowShown="0" headerRowDxfId="47" dataDxfId="46" headerRowCellStyle="Normal 2 2" dataCellStyle="Normal 2 2">
  <autoFilter ref="I2:I12" xr:uid="{87A88AEB-69BC-4DA2-98D6-8B47830C273F}"/>
  <tableColumns count="1">
    <tableColumn id="1" xr3:uid="{A93DC3C8-2346-40E9-B7E9-0FB72AB26B1F}" name="316  Leather and Allied Product Manufacturing" dataDxfId="45" dataCellStyle="Normal 2 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782CCF-0DF2-49A1-AF68-456242F314B3}" name="Table8" displayName="Table8" ref="J2:J24" totalsRowShown="0" headerRowDxfId="44" dataDxfId="43" headerRowCellStyle="Normal 2 2" dataCellStyle="Normal 2 2">
  <autoFilter ref="J2:J24" xr:uid="{6B631E2E-783B-4EB7-8055-4741A55776E2}"/>
  <tableColumns count="1">
    <tableColumn id="1" xr3:uid="{00A694FD-CE37-44A1-A624-E536F9A26768}" name="321  Wood Product Manufacturing" dataDxfId="42" dataCellStyle="Normal 2 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7B31F1E-D48B-4927-BAC5-90F91FF75B0F}" name="Table9" displayName="Table9" ref="K2:K22" totalsRowShown="0" headerRowDxfId="41" dataDxfId="40" headerRowCellStyle="Normal 2 2" dataCellStyle="Normal 2 2">
  <autoFilter ref="K2:K22" xr:uid="{E5A2C9EA-3538-430B-9F1F-F01D16D65040}"/>
  <tableColumns count="1">
    <tableColumn id="1" xr3:uid="{ADED7688-1CC6-4628-8E3F-2FDA9053BA7F}" name="322  Paper Manufacturing" dataDxfId="39" dataCellStyle="Normal 2 2"/>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FF5B9DA-47B7-4FD6-91EE-48BB230B7079}" name="Table10" displayName="Table10" ref="L2:L9" totalsRowShown="0" headerRowDxfId="38" dataDxfId="37" headerRowCellStyle="Normal 2 2" dataCellStyle="Normal 2 2">
  <autoFilter ref="L2:L9" xr:uid="{F9260AAA-5459-4154-820D-0AD4C45D5B98}"/>
  <tableColumns count="1">
    <tableColumn id="1" xr3:uid="{AA641C23-F641-41CB-85D1-A4FCA0124D83}" name="323  Printing and Related Support Activities" dataDxfId="36" dataCellStyle="Normal 2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engineeringtoolbox.com/propylene-glycol-d_363.html" TargetMode="External"/><Relationship Id="rId2" Type="http://schemas.openxmlformats.org/officeDocument/2006/relationships/hyperlink" Target="http://www.engineeringtoolbox.com/density-specific-weight-gravity-d_290.html" TargetMode="External"/><Relationship Id="rId1" Type="http://schemas.openxmlformats.org/officeDocument/2006/relationships/hyperlink" Target="http://www.engineeringtoolbox.com/temperature-d_291.html" TargetMode="External"/><Relationship Id="rId5" Type="http://schemas.openxmlformats.org/officeDocument/2006/relationships/hyperlink" Target="http://www.engineeringtoolbox.com/water-thermal-properties-d_162.html" TargetMode="External"/><Relationship Id="rId4" Type="http://schemas.openxmlformats.org/officeDocument/2006/relationships/hyperlink" Target="http://www.engineeringtoolbox.com/degrees-brix-d_1828.ht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eta.lbl.gov/publications/lifecycle-industry-greenhouse-g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8D6FC-D690-45CC-9655-B2D2FAF611A7}">
  <sheetPr codeName="Sheet22"/>
  <dimension ref="A1:P53"/>
  <sheetViews>
    <sheetView tabSelected="1" zoomScale="115" zoomScaleNormal="115" workbookViewId="0">
      <selection activeCell="G1" sqref="G1:G10"/>
    </sheetView>
  </sheetViews>
  <sheetFormatPr baseColWidth="10" defaultColWidth="0" defaultRowHeight="12.75" customHeight="1" zeroHeight="1"/>
  <cols>
    <col min="1" max="1" width="6.6640625" style="354" customWidth="1"/>
    <col min="2" max="2" width="9.1640625" style="351" customWidth="1"/>
    <col min="3" max="3" width="24.5" style="354" customWidth="1"/>
    <col min="4" max="4" width="32.5" style="353" customWidth="1"/>
    <col min="5" max="5" width="3" style="353" customWidth="1"/>
    <col min="6" max="6" width="9.6640625" style="354" customWidth="1"/>
    <col min="7" max="7" width="6.6640625" style="354" customWidth="1"/>
    <col min="8" max="8" width="8" style="355" hidden="1" customWidth="1"/>
    <col min="9" max="9" width="20" style="355" hidden="1" customWidth="1"/>
    <col min="10" max="11" width="8" style="355" hidden="1" customWidth="1"/>
    <col min="12" max="12" width="28.83203125" style="354" hidden="1" customWidth="1"/>
    <col min="13" max="13" width="20.6640625" style="354" hidden="1" customWidth="1"/>
    <col min="14" max="14" width="7.6640625" style="354" hidden="1" customWidth="1"/>
    <col min="15" max="16384" width="8" style="354" hidden="1"/>
  </cols>
  <sheetData>
    <row r="1" spans="1:16" ht="25" customHeight="1" thickBot="1">
      <c r="A1" s="922"/>
      <c r="B1" s="922"/>
      <c r="C1" s="922"/>
      <c r="D1" s="922"/>
      <c r="E1" s="922"/>
      <c r="F1" s="922"/>
      <c r="G1" s="922"/>
      <c r="J1" s="355" t="s">
        <v>772</v>
      </c>
      <c r="K1" s="355">
        <v>0</v>
      </c>
    </row>
    <row r="2" spans="1:16" ht="69" customHeight="1">
      <c r="A2" s="923"/>
      <c r="B2" s="905" t="s">
        <v>788</v>
      </c>
      <c r="C2" s="906"/>
      <c r="D2" s="906"/>
      <c r="E2" s="906"/>
      <c r="F2" s="907"/>
      <c r="G2" s="922"/>
      <c r="J2" s="357"/>
      <c r="K2" s="355">
        <v>0</v>
      </c>
      <c r="L2" s="358" t="s">
        <v>773</v>
      </c>
      <c r="N2" s="359"/>
    </row>
    <row r="3" spans="1:16" ht="20" customHeight="1">
      <c r="A3" s="923"/>
      <c r="B3" s="908" t="s">
        <v>774</v>
      </c>
      <c r="C3" s="909"/>
      <c r="D3" s="909"/>
      <c r="E3" s="909"/>
      <c r="F3" s="910"/>
      <c r="G3" s="922"/>
      <c r="H3" s="360"/>
      <c r="L3" s="361"/>
      <c r="M3" s="361"/>
      <c r="N3" s="361"/>
      <c r="O3" s="361"/>
      <c r="P3" s="361"/>
    </row>
    <row r="4" spans="1:16" ht="20" customHeight="1" thickBot="1">
      <c r="A4" s="923"/>
      <c r="B4" s="911"/>
      <c r="C4" s="912"/>
      <c r="D4" s="912"/>
      <c r="E4" s="912"/>
      <c r="F4" s="913"/>
      <c r="G4" s="922"/>
      <c r="L4" s="362"/>
    </row>
    <row r="5" spans="1:16" s="364" customFormat="1" ht="20" customHeight="1">
      <c r="A5" s="923"/>
      <c r="B5" s="1197" t="s">
        <v>779</v>
      </c>
      <c r="C5" s="1198"/>
      <c r="D5" s="1198"/>
      <c r="E5" s="1199"/>
      <c r="F5" s="1200"/>
      <c r="G5" s="922"/>
      <c r="H5" s="363" t="s">
        <v>775</v>
      </c>
      <c r="J5" s="363"/>
      <c r="K5" s="363"/>
      <c r="O5" s="365"/>
    </row>
    <row r="6" spans="1:16" ht="20" customHeight="1" thickBot="1">
      <c r="A6" s="923"/>
      <c r="B6" s="914" t="s">
        <v>776</v>
      </c>
      <c r="C6" s="915"/>
      <c r="D6" s="915"/>
      <c r="E6" s="916"/>
      <c r="F6" s="917"/>
      <c r="G6" s="922"/>
      <c r="H6" s="355" t="s">
        <v>777</v>
      </c>
    </row>
    <row r="7" spans="1:16" s="366" customFormat="1" ht="45" customHeight="1">
      <c r="A7" s="923"/>
      <c r="B7" s="901" t="s">
        <v>778</v>
      </c>
      <c r="C7" s="902"/>
      <c r="D7" s="877" t="s">
        <v>789</v>
      </c>
      <c r="E7" s="878"/>
      <c r="F7" s="879"/>
      <c r="G7" s="922"/>
      <c r="H7" s="359" t="s">
        <v>108</v>
      </c>
      <c r="J7" s="359"/>
      <c r="K7" s="359"/>
    </row>
    <row r="8" spans="1:16" s="366" customFormat="1" ht="20" customHeight="1">
      <c r="A8" s="923"/>
      <c r="B8" s="903" t="s">
        <v>786</v>
      </c>
      <c r="C8" s="904"/>
      <c r="D8" s="880" t="s">
        <v>790</v>
      </c>
      <c r="E8" s="881"/>
      <c r="F8" s="882"/>
      <c r="G8" s="922"/>
      <c r="H8" s="359"/>
      <c r="J8" s="359"/>
      <c r="K8" s="359"/>
    </row>
    <row r="9" spans="1:16" s="366" customFormat="1" ht="20" customHeight="1">
      <c r="A9" s="923"/>
      <c r="B9" s="897" t="s">
        <v>1549</v>
      </c>
      <c r="C9" s="898"/>
      <c r="D9" s="880" t="s">
        <v>791</v>
      </c>
      <c r="E9" s="881"/>
      <c r="F9" s="882"/>
      <c r="G9" s="922"/>
      <c r="H9" s="359"/>
      <c r="J9" s="359"/>
      <c r="K9" s="359"/>
    </row>
    <row r="10" spans="1:16" s="366" customFormat="1" ht="20" customHeight="1" thickBot="1">
      <c r="A10" s="923"/>
      <c r="B10" s="924" t="s">
        <v>794</v>
      </c>
      <c r="C10" s="925"/>
      <c r="D10" s="883" t="s">
        <v>796</v>
      </c>
      <c r="E10" s="884"/>
      <c r="F10" s="885"/>
      <c r="G10" s="922"/>
      <c r="H10" s="359"/>
      <c r="I10" s="359"/>
      <c r="J10" s="359"/>
      <c r="K10" s="359"/>
    </row>
    <row r="11" spans="1:16" s="366" customFormat="1" ht="20" customHeight="1" thickBot="1">
      <c r="A11" s="921"/>
      <c r="B11" s="921"/>
      <c r="C11" s="921"/>
      <c r="D11" s="921"/>
      <c r="E11" s="921"/>
      <c r="F11" s="921"/>
      <c r="G11" s="921"/>
      <c r="H11" s="359"/>
      <c r="I11" s="359"/>
      <c r="J11" s="359"/>
      <c r="K11" s="359"/>
    </row>
    <row r="12" spans="1:16" s="366" customFormat="1" ht="20" customHeight="1" thickBot="1">
      <c r="B12" s="892" t="s">
        <v>787</v>
      </c>
      <c r="C12" s="893"/>
      <c r="D12" s="893"/>
      <c r="E12" s="893"/>
      <c r="F12" s="894"/>
      <c r="G12" s="367"/>
      <c r="H12" s="359"/>
      <c r="I12" s="359"/>
      <c r="J12" s="359"/>
      <c r="K12" s="359"/>
    </row>
    <row r="13" spans="1:16" s="366" customFormat="1" ht="20" customHeight="1">
      <c r="B13" s="895" t="s">
        <v>780</v>
      </c>
      <c r="C13" s="896"/>
      <c r="D13" s="918" t="s">
        <v>1546</v>
      </c>
      <c r="E13" s="919"/>
      <c r="F13" s="920"/>
      <c r="H13" s="359"/>
      <c r="I13" s="359"/>
      <c r="J13" s="359"/>
      <c r="K13" s="359"/>
    </row>
    <row r="14" spans="1:16" s="366" customFormat="1" ht="20" customHeight="1">
      <c r="B14" s="897" t="s">
        <v>781</v>
      </c>
      <c r="C14" s="898"/>
      <c r="D14" s="880"/>
      <c r="E14" s="881"/>
      <c r="F14" s="882"/>
      <c r="H14" s="359"/>
      <c r="I14" s="359"/>
      <c r="J14" s="359"/>
      <c r="K14" s="359"/>
    </row>
    <row r="15" spans="1:16" s="366" customFormat="1" ht="20" customHeight="1">
      <c r="B15" s="897" t="s">
        <v>1547</v>
      </c>
      <c r="C15" s="898"/>
      <c r="D15" s="880"/>
      <c r="E15" s="881"/>
      <c r="F15" s="882"/>
      <c r="H15" s="359"/>
      <c r="I15" s="359"/>
      <c r="J15" s="359"/>
      <c r="K15" s="359"/>
    </row>
    <row r="16" spans="1:16" s="366" customFormat="1" ht="20" customHeight="1">
      <c r="B16" s="897" t="s">
        <v>782</v>
      </c>
      <c r="C16" s="898"/>
      <c r="D16" s="880"/>
      <c r="E16" s="881"/>
      <c r="F16" s="882"/>
      <c r="H16" s="359"/>
      <c r="I16" s="359"/>
      <c r="J16" s="359"/>
      <c r="K16" s="359"/>
    </row>
    <row r="17" spans="2:11" s="366" customFormat="1" ht="20" customHeight="1">
      <c r="B17" s="897" t="s">
        <v>783</v>
      </c>
      <c r="C17" s="898"/>
      <c r="D17" s="880"/>
      <c r="E17" s="881"/>
      <c r="F17" s="882"/>
      <c r="H17" s="359"/>
      <c r="I17" s="359"/>
      <c r="J17" s="359"/>
      <c r="K17" s="359"/>
    </row>
    <row r="18" spans="2:11" s="366" customFormat="1" ht="20" customHeight="1">
      <c r="B18" s="897" t="s">
        <v>784</v>
      </c>
      <c r="C18" s="898"/>
      <c r="D18" s="880"/>
      <c r="E18" s="881"/>
      <c r="F18" s="882"/>
      <c r="H18" s="368" t="s">
        <v>36</v>
      </c>
      <c r="I18" s="359"/>
      <c r="J18" s="359"/>
      <c r="K18" s="359"/>
    </row>
    <row r="19" spans="2:11" s="366" customFormat="1" ht="20" customHeight="1" thickBot="1">
      <c r="B19" s="899" t="s">
        <v>785</v>
      </c>
      <c r="C19" s="900"/>
      <c r="D19" s="883"/>
      <c r="E19" s="884"/>
      <c r="F19" s="885"/>
      <c r="H19" s="368"/>
      <c r="I19" s="359"/>
      <c r="J19" s="359"/>
      <c r="K19" s="359"/>
    </row>
    <row r="20" spans="2:11" s="366" customFormat="1" ht="33" customHeight="1">
      <c r="B20" s="886" t="s">
        <v>835</v>
      </c>
      <c r="C20" s="887"/>
      <c r="D20" s="887"/>
      <c r="E20" s="887"/>
      <c r="F20" s="888"/>
      <c r="H20" s="368"/>
      <c r="I20" s="359"/>
      <c r="J20" s="359"/>
      <c r="K20" s="359"/>
    </row>
    <row r="21" spans="2:11" s="366" customFormat="1" ht="33" customHeight="1" thickBot="1">
      <c r="B21" s="889"/>
      <c r="C21" s="890"/>
      <c r="D21" s="890"/>
      <c r="E21" s="890"/>
      <c r="F21" s="891"/>
      <c r="H21" s="359"/>
      <c r="I21" s="359"/>
      <c r="J21" s="359"/>
      <c r="K21" s="359"/>
    </row>
    <row r="22" spans="2:11" s="366" customFormat="1" ht="86.25" customHeight="1">
      <c r="B22" s="876" t="s">
        <v>1548</v>
      </c>
      <c r="C22" s="876"/>
      <c r="D22" s="876"/>
      <c r="E22" s="876"/>
      <c r="F22" s="876"/>
      <c r="H22" s="359"/>
      <c r="I22" s="359"/>
      <c r="J22" s="359"/>
      <c r="K22" s="359"/>
    </row>
    <row r="23" spans="2:11" s="366" customFormat="1" ht="12.5" hidden="1" customHeight="1">
      <c r="B23" s="369"/>
      <c r="C23" s="367"/>
      <c r="D23" s="370"/>
      <c r="E23" s="370"/>
      <c r="F23" s="367"/>
      <c r="H23" s="359"/>
      <c r="I23" s="359"/>
      <c r="J23" s="359"/>
      <c r="K23" s="359"/>
    </row>
    <row r="24" spans="2:11" s="366" customFormat="1" ht="16.5" hidden="1" customHeight="1">
      <c r="B24" s="369"/>
      <c r="C24" s="367"/>
      <c r="D24" s="370"/>
      <c r="E24" s="370"/>
      <c r="F24" s="367"/>
      <c r="H24" s="359"/>
      <c r="I24" s="359"/>
      <c r="J24" s="359"/>
      <c r="K24" s="359"/>
    </row>
    <row r="25" spans="2:11" s="366" customFormat="1" ht="20" hidden="1" customHeight="1">
      <c r="B25" s="369"/>
      <c r="C25" s="367"/>
      <c r="D25" s="370"/>
      <c r="E25" s="370"/>
      <c r="F25" s="367"/>
      <c r="H25" s="359"/>
      <c r="I25" s="371"/>
      <c r="J25" s="359"/>
      <c r="K25" s="359"/>
    </row>
    <row r="26" spans="2:11" s="366" customFormat="1" ht="20" hidden="1" customHeight="1">
      <c r="B26" s="369"/>
      <c r="D26" s="370"/>
      <c r="E26" s="370"/>
      <c r="F26" s="367"/>
      <c r="H26" s="359"/>
      <c r="I26" s="359"/>
      <c r="J26" s="359"/>
      <c r="K26" s="359"/>
    </row>
    <row r="27" spans="2:11" s="366" customFormat="1" ht="16" hidden="1">
      <c r="B27" s="369"/>
      <c r="C27" s="367"/>
      <c r="D27" s="370"/>
      <c r="E27" s="370"/>
      <c r="F27" s="367"/>
      <c r="H27" s="359"/>
      <c r="I27" s="359"/>
      <c r="J27" s="359"/>
      <c r="K27" s="359"/>
    </row>
    <row r="28" spans="2:11" s="366" customFormat="1" ht="16" hidden="1">
      <c r="B28" s="369"/>
      <c r="C28" s="367"/>
      <c r="D28" s="370"/>
      <c r="E28" s="370"/>
      <c r="F28" s="367"/>
      <c r="H28" s="359"/>
      <c r="I28" s="359"/>
      <c r="J28" s="359"/>
      <c r="K28" s="359"/>
    </row>
    <row r="29" spans="2:11" s="366" customFormat="1" ht="16" hidden="1">
      <c r="B29" s="369"/>
      <c r="C29" s="367"/>
      <c r="D29" s="370"/>
      <c r="E29" s="370"/>
      <c r="F29" s="367"/>
      <c r="H29" s="359"/>
      <c r="I29" s="359"/>
      <c r="J29" s="359"/>
      <c r="K29" s="359"/>
    </row>
    <row r="30" spans="2:11" s="366" customFormat="1" ht="16" hidden="1">
      <c r="B30" s="369"/>
      <c r="C30" s="367"/>
      <c r="D30" s="370"/>
      <c r="E30" s="370"/>
      <c r="F30" s="367"/>
      <c r="H30" s="359"/>
      <c r="I30" s="359"/>
      <c r="J30" s="359"/>
      <c r="K30" s="359"/>
    </row>
    <row r="31" spans="2:11" s="366" customFormat="1" ht="16" hidden="1">
      <c r="B31" s="369"/>
      <c r="C31" s="367"/>
      <c r="D31" s="370"/>
      <c r="E31" s="370"/>
      <c r="F31" s="367"/>
      <c r="H31" s="359"/>
      <c r="I31" s="359"/>
      <c r="J31" s="359"/>
      <c r="K31" s="359"/>
    </row>
    <row r="32" spans="2:11" ht="16" hidden="1">
      <c r="B32" s="356"/>
      <c r="C32" s="352"/>
      <c r="D32" s="372"/>
      <c r="E32" s="372"/>
      <c r="F32" s="352"/>
    </row>
    <row r="33" spans="2:6" ht="16" hidden="1">
      <c r="B33" s="356"/>
      <c r="C33" s="352"/>
      <c r="D33" s="372"/>
      <c r="E33" s="372"/>
      <c r="F33" s="352"/>
    </row>
    <row r="34" spans="2:6" ht="16" hidden="1">
      <c r="B34" s="356"/>
      <c r="C34" s="352"/>
      <c r="D34" s="372"/>
      <c r="E34" s="372"/>
      <c r="F34" s="352"/>
    </row>
    <row r="35" spans="2:6" ht="16" hidden="1">
      <c r="B35" s="356"/>
      <c r="C35" s="352"/>
      <c r="D35" s="372"/>
      <c r="E35" s="372"/>
      <c r="F35" s="352"/>
    </row>
    <row r="36" spans="2:6" ht="16" hidden="1">
      <c r="B36" s="356"/>
      <c r="C36" s="352"/>
      <c r="D36" s="372"/>
      <c r="E36" s="372"/>
      <c r="F36" s="352"/>
    </row>
    <row r="37" spans="2:6" ht="16" hidden="1">
      <c r="B37" s="356"/>
      <c r="C37" s="352"/>
      <c r="D37" s="372"/>
      <c r="E37" s="372"/>
      <c r="F37" s="352"/>
    </row>
    <row r="38" spans="2:6" ht="16" hidden="1">
      <c r="B38" s="356"/>
      <c r="C38" s="352"/>
      <c r="D38" s="372"/>
      <c r="E38" s="372"/>
      <c r="F38" s="352"/>
    </row>
    <row r="39" spans="2:6" ht="16" hidden="1">
      <c r="B39" s="356"/>
      <c r="C39" s="352"/>
      <c r="D39" s="372"/>
      <c r="E39" s="372"/>
      <c r="F39" s="352"/>
    </row>
    <row r="40" spans="2:6" ht="16" hidden="1">
      <c r="B40" s="356"/>
      <c r="C40" s="352"/>
      <c r="D40" s="372"/>
      <c r="E40" s="372"/>
      <c r="F40" s="352"/>
    </row>
    <row r="41" spans="2:6" ht="16" hidden="1">
      <c r="B41" s="356"/>
      <c r="C41" s="352"/>
      <c r="D41" s="372"/>
      <c r="E41" s="372"/>
      <c r="F41" s="352"/>
    </row>
    <row r="42" spans="2:6" ht="16" hidden="1">
      <c r="B42" s="356"/>
      <c r="C42" s="352"/>
      <c r="D42" s="372"/>
      <c r="E42" s="372"/>
      <c r="F42" s="352"/>
    </row>
    <row r="43" spans="2:6" ht="16" hidden="1">
      <c r="B43" s="356"/>
      <c r="C43" s="352"/>
      <c r="D43" s="372"/>
      <c r="E43" s="372"/>
      <c r="F43" s="352"/>
    </row>
    <row r="44" spans="2:6" ht="16" hidden="1">
      <c r="B44" s="356"/>
      <c r="C44" s="352"/>
      <c r="D44" s="372"/>
      <c r="E44" s="372"/>
      <c r="F44" s="352"/>
    </row>
    <row r="45" spans="2:6" ht="16" hidden="1">
      <c r="B45" s="356"/>
      <c r="C45" s="352"/>
      <c r="D45" s="372"/>
      <c r="E45" s="372"/>
      <c r="F45" s="352"/>
    </row>
    <row r="46" spans="2:6" ht="16" hidden="1">
      <c r="B46" s="356"/>
      <c r="C46" s="352"/>
      <c r="D46" s="372"/>
      <c r="E46" s="372"/>
      <c r="F46" s="352"/>
    </row>
    <row r="47" spans="2:6" ht="16" hidden="1">
      <c r="B47" s="356"/>
      <c r="C47" s="352"/>
      <c r="D47" s="372"/>
      <c r="E47" s="372"/>
      <c r="F47" s="352"/>
    </row>
    <row r="48" spans="2:6" ht="16" hidden="1">
      <c r="B48" s="356"/>
      <c r="C48" s="352"/>
      <c r="D48" s="372"/>
      <c r="E48" s="372"/>
      <c r="F48" s="352"/>
    </row>
    <row r="49" spans="2:6" ht="16" hidden="1">
      <c r="B49" s="356"/>
      <c r="C49" s="352"/>
      <c r="D49" s="372"/>
      <c r="E49" s="372"/>
      <c r="F49" s="352"/>
    </row>
    <row r="50" spans="2:6" ht="16" hidden="1">
      <c r="B50" s="356"/>
      <c r="C50" s="352"/>
      <c r="D50" s="372"/>
      <c r="E50" s="372"/>
      <c r="F50" s="352"/>
    </row>
    <row r="51" spans="2:6" ht="16" hidden="1">
      <c r="B51" s="356"/>
      <c r="C51" s="352"/>
      <c r="D51" s="372"/>
      <c r="E51" s="372"/>
      <c r="F51" s="352"/>
    </row>
    <row r="52" spans="2:6" ht="12.75" customHeight="1"/>
    <row r="53" spans="2:6" ht="12.75" customHeight="1"/>
  </sheetData>
  <sheetProtection algorithmName="SHA-512" hashValue="flpbu1+0JpS+glTJHMp5MblPjUk+3JhW/MEc7KnzxQsmLlxsDaQmL38aq99HSd6yHZr5NtWyRr0mg9fc25ovbw==" saltValue="N0VsdWiBM5V0RHy+WDff8A==" spinCount="100000" sheet="1" objects="1" scenarios="1"/>
  <mergeCells count="27">
    <mergeCell ref="B2:F2"/>
    <mergeCell ref="B3:F4"/>
    <mergeCell ref="B5:F5"/>
    <mergeCell ref="B6:F6"/>
    <mergeCell ref="D13:F19"/>
    <mergeCell ref="A11:G11"/>
    <mergeCell ref="G1:G10"/>
    <mergeCell ref="A1:F1"/>
    <mergeCell ref="A2:A10"/>
    <mergeCell ref="B9:C9"/>
    <mergeCell ref="B10:C10"/>
    <mergeCell ref="B22:F22"/>
    <mergeCell ref="D7:F7"/>
    <mergeCell ref="D8:F8"/>
    <mergeCell ref="D9:F9"/>
    <mergeCell ref="D10:F10"/>
    <mergeCell ref="B20:F21"/>
    <mergeCell ref="B12:F12"/>
    <mergeCell ref="B13:C13"/>
    <mergeCell ref="B14:C14"/>
    <mergeCell ref="B15:C15"/>
    <mergeCell ref="B16:C16"/>
    <mergeCell ref="B17:C17"/>
    <mergeCell ref="B18:C18"/>
    <mergeCell ref="B19:C19"/>
    <mergeCell ref="B7:C7"/>
    <mergeCell ref="B8:C8"/>
  </mergeCells>
  <dataValidations count="2">
    <dataValidation type="list" allowBlank="1" showInputMessage="1" showErrorMessage="1" sqref="J1" xr:uid="{0E827DDE-7A3E-49AF-99DA-E33D2AC29B46}">
      <formula1>"Lock, Unlock"</formula1>
    </dataValidation>
    <dataValidation allowBlank="1" showInputMessage="1" showErrorMessage="1" error="A maximum of  1 charge material may be entered_x000a_" sqref="D13 D10:F10" xr:uid="{7742A2E2-289C-4E16-9C41-D87AD1E3E11F}"/>
  </dataValidations>
  <hyperlinks>
    <hyperlink ref="B5:D5" location="'What is PHAST'!A1" display="'What is PHAST'!A1" xr:uid="{B8A6E9EB-33A9-47A4-899F-B89FABCF4C38}"/>
    <hyperlink ref="B5:F5" location="Systems!A1" display="Overview of Process Heating Systems" xr:uid="{1E931558-4D3C-47FE-B57D-849B17C53D5A}"/>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N40"/>
  <sheetViews>
    <sheetView workbookViewId="0">
      <selection activeCell="F12" sqref="F12"/>
    </sheetView>
  </sheetViews>
  <sheetFormatPr baseColWidth="10" defaultColWidth="0" defaultRowHeight="16" zeroHeight="1"/>
  <cols>
    <col min="1" max="1" width="12.33203125" style="373" customWidth="1"/>
    <col min="2" max="2" width="29.6640625" customWidth="1"/>
    <col min="3" max="3" width="14.6640625" customWidth="1"/>
    <col min="4" max="4" width="17.1640625" customWidth="1"/>
    <col min="5" max="5" width="19.1640625" customWidth="1"/>
    <col min="6" max="6" width="16.83203125" style="373" customWidth="1"/>
    <col min="7" max="7" width="29.6640625" customWidth="1"/>
    <col min="8" max="8" width="13.6640625" customWidth="1"/>
    <col min="9" max="9" width="14.83203125" customWidth="1"/>
    <col min="10" max="10" width="3.1640625" style="373" customWidth="1"/>
    <col min="11" max="11" width="28.6640625" style="373" customWidth="1"/>
    <col min="12" max="12" width="14.83203125" hidden="1" customWidth="1"/>
    <col min="13" max="13" width="9" hidden="1" customWidth="1"/>
    <col min="14" max="14" width="9.1640625" hidden="1" customWidth="1"/>
    <col min="15" max="16384" width="9" hidden="1"/>
  </cols>
  <sheetData>
    <row r="1" spans="1:14" s="373" customFormat="1" ht="39.75" customHeight="1">
      <c r="E1" s="447" t="s">
        <v>810</v>
      </c>
      <c r="F1" s="563"/>
      <c r="G1" s="563"/>
    </row>
    <row r="2" spans="1:14" s="373" customFormat="1" ht="18.75" customHeight="1"/>
    <row r="3" spans="1:14" s="373" customFormat="1" ht="38.25" customHeight="1" thickBot="1">
      <c r="B3" s="564" t="s">
        <v>808</v>
      </c>
      <c r="C3" s="381"/>
      <c r="D3" s="381"/>
      <c r="E3" s="381"/>
      <c r="G3" s="565" t="s">
        <v>809</v>
      </c>
    </row>
    <row r="4" spans="1:14" s="201" customFormat="1" ht="19" thickTop="1" thickBot="1">
      <c r="A4" s="400"/>
      <c r="B4" s="478" t="s">
        <v>620</v>
      </c>
      <c r="C4" s="466"/>
      <c r="D4" s="481" t="s">
        <v>665</v>
      </c>
      <c r="E4" s="475" t="s">
        <v>666</v>
      </c>
      <c r="F4" s="400"/>
      <c r="G4" s="478" t="s">
        <v>620</v>
      </c>
      <c r="H4" s="466"/>
      <c r="I4" s="475" t="s">
        <v>804</v>
      </c>
      <c r="J4" s="400"/>
      <c r="K4" s="400"/>
      <c r="M4" s="206"/>
      <c r="N4"/>
    </row>
    <row r="5" spans="1:14" s="201" customFormat="1" ht="20" thickTop="1">
      <c r="A5" s="400"/>
      <c r="B5" s="479" t="s">
        <v>621</v>
      </c>
      <c r="C5" s="480"/>
      <c r="D5" s="853"/>
      <c r="E5" s="854"/>
      <c r="F5" s="400"/>
      <c r="G5" s="14" t="s">
        <v>720</v>
      </c>
      <c r="H5" s="399" t="s">
        <v>558</v>
      </c>
      <c r="I5" s="854"/>
      <c r="J5" s="400"/>
      <c r="K5" s="400"/>
      <c r="M5" s="207" t="s">
        <v>641</v>
      </c>
      <c r="N5"/>
    </row>
    <row r="6" spans="1:14" s="201" customFormat="1" ht="34">
      <c r="A6" s="400"/>
      <c r="B6" s="458" t="s">
        <v>623</v>
      </c>
      <c r="C6" s="457" t="s">
        <v>622</v>
      </c>
      <c r="D6" s="855"/>
      <c r="E6" s="856"/>
      <c r="F6" s="400"/>
      <c r="G6" s="8" t="s">
        <v>639</v>
      </c>
      <c r="H6" s="398" t="s">
        <v>36</v>
      </c>
      <c r="I6" s="856"/>
      <c r="J6" s="400"/>
      <c r="K6" s="400"/>
      <c r="M6" s="206"/>
      <c r="N6"/>
    </row>
    <row r="7" spans="1:14" s="201" customFormat="1" ht="19">
      <c r="A7" s="400"/>
      <c r="B7" s="458" t="s">
        <v>624</v>
      </c>
      <c r="C7" s="457" t="str">
        <f>IF(C6="scf/hr.","Btu/scf",IF(C6="gallons/hr.","Btu/gallon",IF(C6="lbs./hr.","Btu/lb.")))</f>
        <v>Btu/scf</v>
      </c>
      <c r="D7" s="855"/>
      <c r="E7" s="856"/>
      <c r="F7" s="400"/>
      <c r="G7" s="8" t="s">
        <v>640</v>
      </c>
      <c r="H7" s="398" t="s">
        <v>560</v>
      </c>
      <c r="I7" s="857"/>
      <c r="J7" s="400"/>
      <c r="K7" s="400"/>
      <c r="M7" s="207" t="s">
        <v>642</v>
      </c>
      <c r="N7"/>
    </row>
    <row r="8" spans="1:14" s="201" customFormat="1" ht="17">
      <c r="A8" s="400"/>
      <c r="B8" s="458" t="s">
        <v>625</v>
      </c>
      <c r="C8" s="457" t="s">
        <v>632</v>
      </c>
      <c r="D8" s="670">
        <f>D6*D7/10^6</f>
        <v>0</v>
      </c>
      <c r="E8" s="671">
        <f>E6*E7/10^6</f>
        <v>0</v>
      </c>
      <c r="F8" s="400"/>
      <c r="G8" s="8" t="s">
        <v>661</v>
      </c>
      <c r="H8" s="398" t="s">
        <v>36</v>
      </c>
      <c r="I8" s="856"/>
      <c r="J8" s="400"/>
      <c r="K8" s="400"/>
      <c r="M8" s="206"/>
      <c r="N8"/>
    </row>
    <row r="9" spans="1:14" s="201" customFormat="1" ht="18" thickBot="1">
      <c r="A9" s="400"/>
      <c r="B9" s="459"/>
      <c r="C9" s="460"/>
      <c r="D9" s="460"/>
      <c r="E9" s="461"/>
      <c r="F9" s="400"/>
      <c r="G9" s="450" t="s">
        <v>662</v>
      </c>
      <c r="H9" s="449" t="s">
        <v>663</v>
      </c>
      <c r="I9" s="672">
        <f>IFERROR(I6^0.5*I7*I5*I8/1000,0)</f>
        <v>0</v>
      </c>
      <c r="J9" s="400"/>
      <c r="K9" s="400"/>
      <c r="M9" s="207" t="s">
        <v>643</v>
      </c>
      <c r="N9"/>
    </row>
    <row r="10" spans="1:14" s="400" customFormat="1" ht="18" thickTop="1" thickBot="1">
      <c r="B10" s="388"/>
      <c r="C10" s="388"/>
      <c r="D10" s="388"/>
      <c r="E10" s="388"/>
      <c r="G10" s="388"/>
      <c r="H10" s="388"/>
      <c r="I10" s="448"/>
      <c r="M10" s="441"/>
      <c r="N10" s="373"/>
    </row>
    <row r="11" spans="1:14" s="201" customFormat="1" ht="20" thickTop="1" thickBot="1">
      <c r="A11" s="400"/>
      <c r="B11" s="452" t="s">
        <v>626</v>
      </c>
      <c r="C11" s="453"/>
      <c r="D11" s="470" t="s">
        <v>665</v>
      </c>
      <c r="E11" s="469" t="s">
        <v>666</v>
      </c>
      <c r="F11" s="400"/>
      <c r="G11" s="478" t="s">
        <v>626</v>
      </c>
      <c r="H11" s="466"/>
      <c r="I11" s="475" t="s">
        <v>804</v>
      </c>
      <c r="J11" s="400"/>
      <c r="K11" s="400"/>
      <c r="M11" s="207" t="s">
        <v>644</v>
      </c>
      <c r="N11"/>
    </row>
    <row r="12" spans="1:14" s="201" customFormat="1" ht="18" thickTop="1">
      <c r="A12" s="400"/>
      <c r="B12" s="462" t="s">
        <v>628</v>
      </c>
      <c r="C12" s="456"/>
      <c r="D12" s="484" t="str">
        <f>IF('Calculator '!$D$10="Solid","Solid",IF('Calculator '!$D$10="Liquid","Liquid",(IF('Calculator '!$D$10="Gas/Vapor","Gas/Vapor"))))</f>
        <v>Solid</v>
      </c>
      <c r="E12" s="485" t="str">
        <f>D12</f>
        <v>Solid</v>
      </c>
      <c r="F12" s="400"/>
      <c r="G12" s="476" t="s">
        <v>628</v>
      </c>
      <c r="H12" s="399"/>
      <c r="I12" s="477" t="str">
        <f>IF('Calculator '!$D$10="Solid","Solid",IF('Calculator '!$D$10="Liquid","Liquid",(IF('Calculator '!$D$10="Gas/Vapor","Gas/Vapor"))))</f>
        <v>Solid</v>
      </c>
      <c r="J12" s="400"/>
      <c r="K12" s="400"/>
      <c r="M12" s="206"/>
      <c r="N12"/>
    </row>
    <row r="13" spans="1:14" s="201" customFormat="1" ht="17">
      <c r="A13" s="400"/>
      <c r="B13" s="458" t="s">
        <v>627</v>
      </c>
      <c r="C13" s="457" t="s">
        <v>197</v>
      </c>
      <c r="D13" s="858">
        <f>IFERROR('Calculator '!D17*'Calculator '!D19,"")</f>
        <v>0</v>
      </c>
      <c r="E13" s="859">
        <f>IFERROR('Calculator '!E17*'Calculator '!E19,"")</f>
        <v>0</v>
      </c>
      <c r="F13" s="400"/>
      <c r="G13" s="8" t="s">
        <v>627</v>
      </c>
      <c r="H13" s="398" t="s">
        <v>197</v>
      </c>
      <c r="I13" s="859">
        <f>E13</f>
        <v>0</v>
      </c>
      <c r="J13" s="400"/>
      <c r="K13" s="400"/>
      <c r="M13" s="207" t="s">
        <v>645</v>
      </c>
      <c r="N13"/>
    </row>
    <row r="14" spans="1:14" s="216" customFormat="1" ht="34">
      <c r="A14" s="400"/>
      <c r="B14" s="458" t="s">
        <v>691</v>
      </c>
      <c r="C14" s="457" t="s">
        <v>7</v>
      </c>
      <c r="D14" s="860"/>
      <c r="E14" s="861"/>
      <c r="F14" s="400"/>
      <c r="G14" s="8" t="s">
        <v>692</v>
      </c>
      <c r="H14" s="398" t="s">
        <v>7</v>
      </c>
      <c r="I14" s="861"/>
      <c r="J14" s="400"/>
      <c r="K14" s="400"/>
      <c r="M14" s="207"/>
      <c r="N14"/>
    </row>
    <row r="15" spans="1:14" s="201" customFormat="1" ht="51">
      <c r="A15" s="400"/>
      <c r="B15" s="458" t="s">
        <v>721</v>
      </c>
      <c r="C15" s="457" t="s">
        <v>7</v>
      </c>
      <c r="D15" s="860"/>
      <c r="E15" s="861"/>
      <c r="F15" s="400"/>
      <c r="G15" s="8" t="s">
        <v>722</v>
      </c>
      <c r="H15" s="398" t="s">
        <v>7</v>
      </c>
      <c r="I15" s="861"/>
      <c r="J15" s="400"/>
      <c r="K15" s="400"/>
      <c r="M15" s="206"/>
      <c r="N15"/>
    </row>
    <row r="16" spans="1:14" s="201" customFormat="1" ht="31.25" customHeight="1">
      <c r="A16" s="400"/>
      <c r="B16" s="458" t="s">
        <v>625</v>
      </c>
      <c r="C16" s="457" t="s">
        <v>633</v>
      </c>
      <c r="D16" s="670">
        <f>IFERROR((D13*D14/D15)/10^6,0)</f>
        <v>0</v>
      </c>
      <c r="E16" s="671">
        <f>IFERROR((E13*E14/E15)/10^6,0)</f>
        <v>0</v>
      </c>
      <c r="F16" s="400"/>
      <c r="G16" s="8" t="s">
        <v>625</v>
      </c>
      <c r="H16" s="398" t="s">
        <v>663</v>
      </c>
      <c r="I16" s="671">
        <f>IFERROR((I13*I14/I15)/3414,0)</f>
        <v>0</v>
      </c>
      <c r="J16" s="400"/>
      <c r="K16" s="400"/>
      <c r="M16" s="207" t="s">
        <v>646</v>
      </c>
      <c r="N16"/>
    </row>
    <row r="17" spans="1:14" s="201" customFormat="1" ht="17" thickBot="1">
      <c r="A17" s="400"/>
      <c r="B17" s="463"/>
      <c r="C17" s="464"/>
      <c r="D17" s="464"/>
      <c r="E17" s="465"/>
      <c r="F17" s="400"/>
      <c r="G17" s="451"/>
      <c r="H17" s="449"/>
      <c r="I17" s="465"/>
      <c r="J17" s="388"/>
      <c r="K17" s="400"/>
      <c r="M17" s="206"/>
      <c r="N17"/>
    </row>
    <row r="18" spans="1:14" s="400" customFormat="1" ht="17" thickTop="1">
      <c r="A18" s="388"/>
      <c r="B18" s="388"/>
      <c r="C18" s="388"/>
      <c r="D18" s="388"/>
      <c r="E18" s="388"/>
      <c r="G18" s="442"/>
      <c r="H18" s="388"/>
      <c r="I18" s="388"/>
      <c r="J18" s="388"/>
      <c r="M18" s="441"/>
      <c r="N18" s="373"/>
    </row>
    <row r="19" spans="1:14" s="400" customFormat="1" ht="17" thickBot="1">
      <c r="A19" s="388"/>
      <c r="B19" s="388"/>
      <c r="C19" s="388"/>
      <c r="D19" s="388"/>
      <c r="E19" s="388"/>
      <c r="G19" s="388"/>
      <c r="H19" s="388"/>
      <c r="I19" s="443"/>
      <c r="J19" s="388"/>
      <c r="M19" s="444" t="s">
        <v>647</v>
      </c>
      <c r="N19" s="373"/>
    </row>
    <row r="20" spans="1:14" s="201" customFormat="1" ht="19" thickTop="1" thickBot="1">
      <c r="A20" s="400"/>
      <c r="B20" s="473" t="s">
        <v>630</v>
      </c>
      <c r="C20" s="474"/>
      <c r="D20" s="481" t="s">
        <v>665</v>
      </c>
      <c r="E20" s="475" t="s">
        <v>666</v>
      </c>
      <c r="F20" s="400"/>
      <c r="G20" s="473" t="s">
        <v>630</v>
      </c>
      <c r="H20" s="474"/>
      <c r="I20" s="475" t="s">
        <v>804</v>
      </c>
      <c r="J20" s="388"/>
      <c r="K20" s="400"/>
      <c r="M20"/>
      <c r="N20"/>
    </row>
    <row r="21" spans="1:14" s="201" customFormat="1" ht="52" thickTop="1">
      <c r="A21" s="400"/>
      <c r="B21" s="471" t="s">
        <v>723</v>
      </c>
      <c r="C21" s="480" t="str">
        <f>C16</f>
        <v>MM Btu/hr.</v>
      </c>
      <c r="D21" s="862"/>
      <c r="E21" s="863"/>
      <c r="F21" s="400"/>
      <c r="G21" s="471" t="s">
        <v>724</v>
      </c>
      <c r="H21" s="472" t="str">
        <f>H16</f>
        <v>kW</v>
      </c>
      <c r="I21" s="867"/>
      <c r="J21" s="388"/>
      <c r="K21" s="400"/>
      <c r="M21" t="s">
        <v>648</v>
      </c>
      <c r="N21"/>
    </row>
    <row r="22" spans="1:14" s="216" customFormat="1" ht="34">
      <c r="A22" s="400"/>
      <c r="B22" s="458" t="s">
        <v>677</v>
      </c>
      <c r="C22" s="457" t="s">
        <v>7</v>
      </c>
      <c r="D22" s="860"/>
      <c r="E22" s="864"/>
      <c r="F22" s="400"/>
      <c r="G22" s="458" t="s">
        <v>679</v>
      </c>
      <c r="H22" s="467" t="s">
        <v>7</v>
      </c>
      <c r="I22" s="861"/>
      <c r="J22" s="388"/>
      <c r="K22" s="400"/>
      <c r="M22"/>
      <c r="N22"/>
    </row>
    <row r="23" spans="1:14" s="216" customFormat="1" ht="34">
      <c r="A23" s="400"/>
      <c r="B23" s="458" t="s">
        <v>678</v>
      </c>
      <c r="C23" s="457" t="str">
        <f>C21</f>
        <v>MM Btu/hr.</v>
      </c>
      <c r="D23" s="670">
        <f>D21*D22</f>
        <v>0</v>
      </c>
      <c r="E23" s="671">
        <f>E21*E22</f>
        <v>0</v>
      </c>
      <c r="F23" s="400"/>
      <c r="G23" s="458" t="s">
        <v>680</v>
      </c>
      <c r="H23" s="467" t="str">
        <f>H21</f>
        <v>kW</v>
      </c>
      <c r="I23" s="671">
        <f>IFERROR(I21*I22,0)</f>
        <v>0</v>
      </c>
      <c r="J23" s="388"/>
      <c r="K23" s="400"/>
      <c r="M23"/>
      <c r="N23"/>
    </row>
    <row r="24" spans="1:14" s="201" customFormat="1" ht="17" thickBot="1">
      <c r="A24" s="400"/>
      <c r="B24" s="463"/>
      <c r="C24" s="464"/>
      <c r="D24" s="464"/>
      <c r="E24" s="465"/>
      <c r="F24" s="400"/>
      <c r="G24" s="463"/>
      <c r="H24" s="468"/>
      <c r="I24" s="465"/>
      <c r="J24" s="400"/>
      <c r="K24" s="400"/>
      <c r="M24" s="206"/>
      <c r="N24"/>
    </row>
    <row r="25" spans="1:14" s="201" customFormat="1" ht="18" thickTop="1" thickBot="1">
      <c r="A25" s="400"/>
      <c r="B25" s="388"/>
      <c r="C25" s="388"/>
      <c r="D25" s="388"/>
      <c r="E25" s="388"/>
      <c r="F25" s="400"/>
      <c r="J25" s="400"/>
      <c r="K25" s="400"/>
      <c r="M25" s="208" t="s">
        <v>649</v>
      </c>
      <c r="N25"/>
    </row>
    <row r="26" spans="1:14" s="201" customFormat="1" ht="19" thickTop="1" thickBot="1">
      <c r="A26" s="400"/>
      <c r="B26" s="473" t="s">
        <v>631</v>
      </c>
      <c r="C26" s="474"/>
      <c r="D26" s="481" t="s">
        <v>665</v>
      </c>
      <c r="E26" s="475" t="s">
        <v>666</v>
      </c>
      <c r="F26" s="400"/>
      <c r="G26" s="473" t="s">
        <v>631</v>
      </c>
      <c r="H26" s="474"/>
      <c r="I26" s="475" t="s">
        <v>804</v>
      </c>
      <c r="J26" s="400"/>
      <c r="K26" s="400"/>
      <c r="M26" s="208" t="s">
        <v>650</v>
      </c>
      <c r="N26"/>
    </row>
    <row r="27" spans="1:14" s="201" customFormat="1" ht="36" thickTop="1" thickBot="1">
      <c r="A27" s="400"/>
      <c r="B27" s="482" t="s">
        <v>681</v>
      </c>
      <c r="C27" s="483" t="s">
        <v>633</v>
      </c>
      <c r="D27" s="865"/>
      <c r="E27" s="866"/>
      <c r="F27" s="400"/>
      <c r="G27" s="454" t="s">
        <v>682</v>
      </c>
      <c r="H27" s="455" t="s">
        <v>663</v>
      </c>
      <c r="I27" s="868"/>
      <c r="J27" s="400"/>
      <c r="K27" s="400"/>
      <c r="M27"/>
      <c r="N27"/>
    </row>
    <row r="28" spans="1:14" s="400" customFormat="1" ht="20" thickTop="1">
      <c r="B28" s="388"/>
      <c r="C28" s="388"/>
      <c r="D28" s="388"/>
      <c r="E28" s="388"/>
      <c r="M28" s="445" t="s">
        <v>651</v>
      </c>
      <c r="N28" s="373"/>
    </row>
    <row r="29" spans="1:14" s="400" customFormat="1" ht="38.25" hidden="1" customHeight="1" thickBot="1">
      <c r="B29" s="388"/>
      <c r="C29" s="388"/>
      <c r="D29" s="388"/>
      <c r="E29" s="388"/>
      <c r="M29" s="373"/>
      <c r="N29" s="373"/>
    </row>
    <row r="30" spans="1:14" s="400" customFormat="1" hidden="1">
      <c r="B30" s="388"/>
      <c r="C30" s="388"/>
      <c r="D30" s="388"/>
      <c r="E30" s="388"/>
      <c r="M30" s="373" t="s">
        <v>652</v>
      </c>
      <c r="N30" s="373"/>
    </row>
    <row r="31" spans="1:14" s="400" customFormat="1" ht="39" hidden="1" customHeight="1">
      <c r="M31" s="400" t="s">
        <v>725</v>
      </c>
      <c r="N31" s="400">
        <v>0.5</v>
      </c>
    </row>
    <row r="32" spans="1:14" s="201" customFormat="1" ht="85" hidden="1">
      <c r="A32" s="400"/>
      <c r="F32" s="400"/>
      <c r="J32" s="400"/>
      <c r="K32" s="400"/>
      <c r="M32" s="201" t="s">
        <v>726</v>
      </c>
      <c r="N32" s="201">
        <v>0.93</v>
      </c>
    </row>
    <row r="33" spans="1:14" s="201" customFormat="1" ht="51" hidden="1">
      <c r="A33" s="400"/>
      <c r="F33" s="400"/>
      <c r="J33" s="400"/>
      <c r="K33" s="400"/>
      <c r="M33" s="201" t="s">
        <v>653</v>
      </c>
      <c r="N33" s="201">
        <v>1</v>
      </c>
    </row>
    <row r="34" spans="1:14" ht="68" hidden="1">
      <c r="M34" s="201" t="s">
        <v>654</v>
      </c>
      <c r="N34" s="201">
        <v>0.85</v>
      </c>
    </row>
    <row r="35" spans="1:14" ht="51" hidden="1">
      <c r="M35" s="201" t="s">
        <v>655</v>
      </c>
      <c r="N35" s="201">
        <v>0.73</v>
      </c>
    </row>
    <row r="36" spans="1:14" ht="51" hidden="1">
      <c r="M36" s="201" t="s">
        <v>656</v>
      </c>
      <c r="N36" s="201">
        <v>0.17</v>
      </c>
    </row>
    <row r="37" spans="1:14" ht="51" hidden="1">
      <c r="M37" s="201" t="s">
        <v>657</v>
      </c>
      <c r="N37" s="201">
        <v>0.9</v>
      </c>
    </row>
    <row r="38" spans="1:14" ht="68" hidden="1">
      <c r="M38" s="201" t="s">
        <v>658</v>
      </c>
      <c r="N38" s="201">
        <v>1</v>
      </c>
    </row>
    <row r="39" spans="1:14" ht="68" hidden="1">
      <c r="M39" s="201" t="s">
        <v>659</v>
      </c>
      <c r="N39" s="201">
        <v>0.85</v>
      </c>
    </row>
    <row r="40" spans="1:14" ht="51" hidden="1">
      <c r="M40" s="201" t="s">
        <v>660</v>
      </c>
      <c r="N40" s="201">
        <v>1</v>
      </c>
    </row>
  </sheetData>
  <sheetProtection algorithmName="SHA-512" hashValue="npVkdSCpRgAy0WB4Da/WxsGsICWQEGOxIhpzQ53Jbknxyd0lro3cAFDjkgPfgYiUtSilRGbEiVJ2G8fdD5Ep2A==" saltValue="P5XvfAKFY1nvwxCOrykJAQ==" spinCount="100000" sheet="1" objects="1" scenarios="1"/>
  <dataValidations disablePrompts="1" count="1">
    <dataValidation type="list" allowBlank="1" showInputMessage="1" showErrorMessage="1" sqref="C6" xr:uid="{00000000-0002-0000-0700-000000000000}">
      <formula1>"scf/hr.,gallons/hr.,lbs./hr."</formula1>
    </dataValidation>
  </dataValidations>
  <hyperlinks>
    <hyperlink ref="E28" location="gas!A1" display="Gas/Vapor" xr:uid="{5C130919-89E4-401A-8A80-6210CE673BD6}"/>
    <hyperlink ref="D28" location="liquid!A1" display="Liquid" xr:uid="{81D8D00B-F1D6-4A64-A6D6-41AF457448E2}"/>
    <hyperlink ref="C28" location="Solid!A1" display="Solid" xr:uid="{FEDAE145-3C81-432C-9EB1-EC9ACA42F416}"/>
  </hyperlink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H13"/>
  <sheetViews>
    <sheetView workbookViewId="0"/>
  </sheetViews>
  <sheetFormatPr baseColWidth="10" defaultColWidth="0" defaultRowHeight="16" zeroHeight="1"/>
  <cols>
    <col min="1" max="1" width="9" style="373" customWidth="1"/>
    <col min="2" max="2" width="35.33203125" customWidth="1"/>
    <col min="3" max="3" width="10.6640625" customWidth="1"/>
    <col min="4" max="4" width="13.6640625" customWidth="1"/>
    <col min="5" max="5" width="12.6640625" customWidth="1"/>
    <col min="6" max="8" width="9" customWidth="1"/>
    <col min="9" max="16384" width="9" hidden="1"/>
  </cols>
  <sheetData>
    <row r="1" spans="2:8" s="373" customFormat="1"/>
    <row r="2" spans="2:8" s="373" customFormat="1"/>
    <row r="3" spans="2:8" s="373" customFormat="1" ht="25" thickBot="1">
      <c r="B3" s="446" t="s">
        <v>805</v>
      </c>
    </row>
    <row r="4" spans="2:8" ht="17" thickTop="1">
      <c r="B4" s="490"/>
      <c r="C4" s="491"/>
      <c r="D4" s="492" t="s">
        <v>771</v>
      </c>
      <c r="E4" s="493" t="s">
        <v>770</v>
      </c>
      <c r="F4" s="373"/>
      <c r="G4" s="373"/>
      <c r="H4" s="373"/>
    </row>
    <row r="5" spans="2:8">
      <c r="B5" s="494" t="s">
        <v>727</v>
      </c>
      <c r="C5" s="486" t="s">
        <v>634</v>
      </c>
      <c r="D5" s="487"/>
      <c r="E5" s="495"/>
      <c r="F5" s="373"/>
      <c r="G5" s="373"/>
      <c r="H5" s="373"/>
    </row>
    <row r="6" spans="2:8">
      <c r="B6" s="494" t="s">
        <v>1583</v>
      </c>
      <c r="C6" s="486" t="s">
        <v>635</v>
      </c>
      <c r="D6" s="488"/>
      <c r="E6" s="495"/>
      <c r="F6" s="373"/>
      <c r="G6" s="373"/>
      <c r="H6" s="373"/>
    </row>
    <row r="7" spans="2:8">
      <c r="B7" s="494" t="s">
        <v>636</v>
      </c>
      <c r="C7" s="486" t="s">
        <v>8</v>
      </c>
      <c r="D7" s="682"/>
      <c r="E7" s="683"/>
      <c r="F7" s="373"/>
      <c r="G7" s="373"/>
      <c r="H7" s="373"/>
    </row>
    <row r="8" spans="2:8">
      <c r="B8" s="494" t="s">
        <v>728</v>
      </c>
      <c r="C8" s="486" t="s">
        <v>8</v>
      </c>
      <c r="D8" s="682"/>
      <c r="E8" s="683"/>
      <c r="F8" s="373"/>
      <c r="G8" s="373"/>
      <c r="H8" s="373"/>
    </row>
    <row r="9" spans="2:8">
      <c r="B9" s="494" t="s">
        <v>637</v>
      </c>
      <c r="C9" s="486" t="str">
        <f>C8</f>
        <v>$/year</v>
      </c>
      <c r="D9" s="682"/>
      <c r="E9" s="683"/>
      <c r="F9" s="373"/>
      <c r="G9" s="373"/>
      <c r="H9" s="373"/>
    </row>
    <row r="10" spans="2:8">
      <c r="B10" s="496"/>
      <c r="C10" s="431"/>
      <c r="D10" s="489"/>
      <c r="E10" s="497"/>
      <c r="F10" s="373"/>
      <c r="G10" s="373"/>
      <c r="H10" s="373"/>
    </row>
    <row r="11" spans="2:8" ht="17" thickBot="1">
      <c r="B11" s="498" t="s">
        <v>729</v>
      </c>
      <c r="C11" s="499" t="str">
        <f>C9</f>
        <v>$/year</v>
      </c>
      <c r="D11" s="673">
        <f>SUM(D7:D9)+D5*D6</f>
        <v>0</v>
      </c>
      <c r="E11" s="673">
        <f>SUM(E7:E9)+E5*E6</f>
        <v>0</v>
      </c>
      <c r="F11" s="373"/>
      <c r="G11" s="373"/>
      <c r="H11" s="373"/>
    </row>
    <row r="12" spans="2:8" s="373" customFormat="1" ht="17" thickTop="1"/>
    <row r="13" spans="2:8" s="373" customFormat="1"/>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2:Q65"/>
  <sheetViews>
    <sheetView workbookViewId="0"/>
  </sheetViews>
  <sheetFormatPr baseColWidth="10" defaultColWidth="8.83203125" defaultRowHeight="16"/>
  <cols>
    <col min="2" max="2" width="44.5" customWidth="1"/>
    <col min="3" max="3" width="15.5" customWidth="1"/>
    <col min="4" max="5" width="15.6640625" customWidth="1"/>
    <col min="6" max="6" width="15.1640625" customWidth="1"/>
    <col min="12" max="13" width="11.33203125" bestFit="1" customWidth="1"/>
    <col min="16" max="16" width="12.33203125" customWidth="1"/>
  </cols>
  <sheetData>
    <row r="2" spans="2:17" ht="17" thickBot="1">
      <c r="Q2" s="155"/>
    </row>
    <row r="3" spans="2:17" ht="20" thickTop="1">
      <c r="B3" s="1047" t="s">
        <v>85</v>
      </c>
      <c r="C3" s="1048"/>
      <c r="D3" s="1048"/>
      <c r="E3" s="1048"/>
      <c r="F3" s="1048"/>
      <c r="G3" s="1048"/>
      <c r="H3" s="1048"/>
      <c r="I3" s="1049"/>
      <c r="J3" s="142"/>
      <c r="K3" s="143"/>
      <c r="L3" s="144"/>
      <c r="M3" s="144"/>
      <c r="N3" s="144"/>
      <c r="O3" s="144"/>
      <c r="P3" s="145"/>
      <c r="Q3" s="155"/>
    </row>
    <row r="4" spans="2:17" ht="20" thickBot="1">
      <c r="B4" s="1050" t="s">
        <v>86</v>
      </c>
      <c r="C4" s="1051"/>
      <c r="D4" s="1051"/>
      <c r="E4" s="1051"/>
      <c r="F4" s="1051"/>
      <c r="G4" s="1051"/>
      <c r="H4" s="1051"/>
      <c r="I4" s="1052"/>
      <c r="J4" s="142"/>
      <c r="K4" s="146"/>
      <c r="L4" s="147"/>
      <c r="M4" s="147"/>
      <c r="N4" s="147"/>
      <c r="O4" s="147"/>
      <c r="P4" s="148"/>
      <c r="Q4" s="155"/>
    </row>
    <row r="5" spans="2:17">
      <c r="K5" s="146"/>
      <c r="L5" s="147"/>
      <c r="M5" s="147"/>
      <c r="N5" s="147"/>
      <c r="O5" s="147"/>
      <c r="P5" s="148"/>
      <c r="Q5" s="155"/>
    </row>
    <row r="6" spans="2:17" s="1" customFormat="1" ht="21" thickBot="1">
      <c r="B6" s="12" t="s">
        <v>46</v>
      </c>
      <c r="J6" s="3"/>
      <c r="K6" s="149"/>
      <c r="L6" s="150"/>
      <c r="M6" s="150"/>
      <c r="N6" s="150"/>
      <c r="O6" s="150"/>
      <c r="P6" s="151"/>
      <c r="Q6" s="156"/>
    </row>
    <row r="7" spans="2:17" s="1" customFormat="1" ht="17">
      <c r="B7" s="6" t="s">
        <v>0</v>
      </c>
      <c r="C7" s="7"/>
      <c r="D7" s="1056">
        <v>339</v>
      </c>
      <c r="E7" s="1056"/>
      <c r="F7" s="1027" t="s">
        <v>3</v>
      </c>
      <c r="G7" s="1027"/>
      <c r="H7" s="1027"/>
      <c r="I7" s="1028"/>
      <c r="J7" s="5"/>
      <c r="K7" s="149"/>
      <c r="L7" s="150"/>
      <c r="M7" s="150"/>
      <c r="N7" s="150"/>
      <c r="O7" s="150"/>
      <c r="P7" s="151"/>
      <c r="Q7" s="156"/>
    </row>
    <row r="8" spans="2:17" s="1" customFormat="1" ht="17">
      <c r="B8" s="8" t="s">
        <v>1</v>
      </c>
      <c r="C8" s="9"/>
      <c r="D8" s="1026">
        <v>33912</v>
      </c>
      <c r="E8" s="1026"/>
      <c r="F8" s="968" t="s">
        <v>4</v>
      </c>
      <c r="G8" s="968"/>
      <c r="H8" s="968"/>
      <c r="I8" s="969"/>
      <c r="J8" s="5"/>
      <c r="K8" s="149"/>
      <c r="L8" s="150"/>
      <c r="M8" s="150"/>
      <c r="N8" s="150"/>
      <c r="O8" s="150"/>
      <c r="P8" s="151"/>
      <c r="Q8" s="156"/>
    </row>
    <row r="9" spans="2:17" s="1" customFormat="1" ht="17">
      <c r="B9" s="8" t="s">
        <v>10</v>
      </c>
      <c r="C9" s="9"/>
      <c r="D9" s="1101" t="s">
        <v>60</v>
      </c>
      <c r="E9" s="1102"/>
      <c r="F9" s="968"/>
      <c r="G9" s="968"/>
      <c r="H9" s="968"/>
      <c r="I9" s="969"/>
      <c r="J9" s="5"/>
      <c r="K9" s="149"/>
      <c r="L9" s="150"/>
      <c r="M9" s="150"/>
      <c r="N9" s="150"/>
      <c r="O9" s="150"/>
      <c r="P9" s="151"/>
      <c r="Q9" s="156"/>
    </row>
    <row r="10" spans="2:17" s="1" customFormat="1" ht="17">
      <c r="B10" s="8" t="s">
        <v>11</v>
      </c>
      <c r="C10" s="9" t="s">
        <v>12</v>
      </c>
      <c r="D10" s="1103">
        <v>80</v>
      </c>
      <c r="E10" s="1103"/>
      <c r="F10" s="968"/>
      <c r="G10" s="968"/>
      <c r="H10" s="968"/>
      <c r="I10" s="969"/>
      <c r="J10" s="5"/>
      <c r="K10" s="149"/>
      <c r="L10" s="150"/>
      <c r="M10" s="150"/>
      <c r="N10" s="150"/>
      <c r="O10" s="150"/>
      <c r="P10" s="151"/>
      <c r="Q10" s="156"/>
    </row>
    <row r="11" spans="2:17" s="1" customFormat="1" ht="17">
      <c r="B11" s="8" t="s">
        <v>13</v>
      </c>
      <c r="C11" s="9" t="s">
        <v>12</v>
      </c>
      <c r="D11" s="1103">
        <v>2200</v>
      </c>
      <c r="E11" s="1103"/>
      <c r="F11" s="968"/>
      <c r="G11" s="968"/>
      <c r="H11" s="968"/>
      <c r="I11" s="969"/>
      <c r="J11" s="5"/>
      <c r="K11" s="149"/>
      <c r="L11" s="150"/>
      <c r="M11" s="150"/>
      <c r="N11" s="150"/>
      <c r="O11" s="150"/>
      <c r="P11" s="151"/>
      <c r="Q11" s="156"/>
    </row>
    <row r="12" spans="2:17" s="1" customFormat="1" ht="17">
      <c r="B12" s="8" t="s">
        <v>14</v>
      </c>
      <c r="C12" s="9"/>
      <c r="D12" s="1101" t="s">
        <v>25</v>
      </c>
      <c r="E12" s="1102"/>
      <c r="F12" s="968" t="s">
        <v>59</v>
      </c>
      <c r="G12" s="968"/>
      <c r="H12" s="968"/>
      <c r="I12" s="969"/>
      <c r="J12" s="5"/>
      <c r="K12" s="149"/>
      <c r="L12" s="150"/>
      <c r="M12" s="150"/>
      <c r="N12" s="150"/>
      <c r="O12" s="150"/>
      <c r="P12" s="151"/>
      <c r="Q12" s="156"/>
    </row>
    <row r="13" spans="2:17" s="1" customFormat="1" ht="18" thickBot="1">
      <c r="B13" s="10" t="s">
        <v>29</v>
      </c>
      <c r="C13" s="11" t="s">
        <v>9</v>
      </c>
      <c r="D13" s="1104">
        <v>275</v>
      </c>
      <c r="E13" s="1105"/>
      <c r="F13" s="970" t="s">
        <v>201</v>
      </c>
      <c r="G13" s="970"/>
      <c r="H13" s="970"/>
      <c r="I13" s="971"/>
      <c r="J13" s="5"/>
      <c r="K13" s="149"/>
      <c r="L13" s="150"/>
      <c r="M13" s="150"/>
      <c r="N13" s="150"/>
      <c r="O13" s="150"/>
      <c r="P13" s="151"/>
      <c r="Q13" s="156"/>
    </row>
    <row r="14" spans="2:17" s="1" customFormat="1">
      <c r="E14" s="2"/>
      <c r="F14" s="1032"/>
      <c r="G14" s="1032"/>
      <c r="H14" s="1032"/>
      <c r="I14" s="1032"/>
      <c r="J14" s="3"/>
      <c r="K14" s="149"/>
      <c r="L14" s="150"/>
      <c r="M14" s="150"/>
      <c r="N14" s="150"/>
      <c r="O14" s="150"/>
      <c r="P14" s="151"/>
      <c r="Q14" s="156"/>
    </row>
    <row r="15" spans="2:17" s="1" customFormat="1" ht="21" thickBot="1">
      <c r="B15" s="12" t="s">
        <v>53</v>
      </c>
      <c r="E15" s="2"/>
      <c r="J15" s="3"/>
      <c r="K15" s="149"/>
      <c r="L15" s="150"/>
      <c r="M15" s="150"/>
      <c r="N15" s="150"/>
      <c r="O15" s="150"/>
      <c r="P15" s="151"/>
      <c r="Q15" s="156"/>
    </row>
    <row r="16" spans="2:17" s="1" customFormat="1" ht="34">
      <c r="B16" s="16" t="s">
        <v>54</v>
      </c>
      <c r="C16" s="17"/>
      <c r="D16" s="18" t="s">
        <v>49</v>
      </c>
      <c r="E16" s="18" t="s">
        <v>50</v>
      </c>
      <c r="F16" s="1053" t="s">
        <v>91</v>
      </c>
      <c r="G16" s="1054"/>
      <c r="H16" s="1054"/>
      <c r="I16" s="1055"/>
      <c r="J16" s="140"/>
      <c r="K16" s="149"/>
      <c r="L16" s="150"/>
      <c r="M16" s="150"/>
      <c r="N16" s="150"/>
      <c r="O16" s="150"/>
      <c r="P16" s="151"/>
      <c r="Q16" s="156"/>
    </row>
    <row r="17" spans="2:17" s="1" customFormat="1" ht="34">
      <c r="B17" s="14" t="s">
        <v>55</v>
      </c>
      <c r="C17" s="15"/>
      <c r="D17" s="27" t="s">
        <v>62</v>
      </c>
      <c r="E17" s="27" t="s">
        <v>63</v>
      </c>
      <c r="F17" s="1106" t="s">
        <v>61</v>
      </c>
      <c r="G17" s="1106"/>
      <c r="H17" s="1106"/>
      <c r="I17" s="1107"/>
      <c r="J17" s="5"/>
      <c r="K17" s="149"/>
      <c r="L17" s="150"/>
      <c r="M17" s="150"/>
      <c r="N17" s="150"/>
      <c r="O17" s="150"/>
      <c r="P17" s="151"/>
      <c r="Q17" s="156"/>
    </row>
    <row r="18" spans="2:17" s="1" customFormat="1" ht="34">
      <c r="B18" s="8" t="s">
        <v>51</v>
      </c>
      <c r="C18" s="9"/>
      <c r="D18" s="28" t="s">
        <v>52</v>
      </c>
      <c r="E18" s="28" t="s">
        <v>65</v>
      </c>
      <c r="F18" s="968" t="s">
        <v>69</v>
      </c>
      <c r="G18" s="968"/>
      <c r="H18" s="968"/>
      <c r="I18" s="969"/>
      <c r="J18" s="5"/>
      <c r="K18" s="149"/>
      <c r="L18" s="150"/>
      <c r="M18" s="150"/>
      <c r="N18" s="150"/>
      <c r="O18" s="150"/>
      <c r="P18" s="151"/>
      <c r="Q18" s="156"/>
    </row>
    <row r="19" spans="2:17" s="1" customFormat="1" ht="17">
      <c r="B19" s="8" t="s">
        <v>2</v>
      </c>
      <c r="C19" s="9"/>
      <c r="D19" s="28" t="s">
        <v>66</v>
      </c>
      <c r="E19" s="28" t="s">
        <v>67</v>
      </c>
      <c r="F19" s="968" t="s">
        <v>68</v>
      </c>
      <c r="G19" s="968"/>
      <c r="H19" s="968"/>
      <c r="I19" s="969"/>
      <c r="J19" s="5"/>
      <c r="K19" s="149"/>
      <c r="L19" s="150"/>
      <c r="M19" s="150"/>
      <c r="N19" s="150"/>
      <c r="O19" s="150"/>
      <c r="P19" s="151"/>
      <c r="Q19" s="156"/>
    </row>
    <row r="20" spans="2:17" s="1" customFormat="1" ht="17">
      <c r="B20" s="8" t="s">
        <v>17</v>
      </c>
      <c r="C20" s="9"/>
      <c r="D20" s="28" t="s">
        <v>70</v>
      </c>
      <c r="E20" s="28" t="s">
        <v>70</v>
      </c>
      <c r="F20" s="968" t="s">
        <v>71</v>
      </c>
      <c r="G20" s="968"/>
      <c r="H20" s="968"/>
      <c r="I20" s="969"/>
      <c r="J20" s="5"/>
      <c r="K20" s="149"/>
      <c r="L20" s="150"/>
      <c r="M20" s="150"/>
      <c r="N20" s="150"/>
      <c r="O20" s="150"/>
      <c r="P20" s="151"/>
      <c r="Q20" s="156"/>
    </row>
    <row r="21" spans="2:17" s="1" customFormat="1" ht="17">
      <c r="B21" s="8" t="s">
        <v>16</v>
      </c>
      <c r="C21" s="9" t="s">
        <v>5</v>
      </c>
      <c r="D21" s="29">
        <v>5</v>
      </c>
      <c r="E21" s="30">
        <f>D21</f>
        <v>5</v>
      </c>
      <c r="F21" s="968"/>
      <c r="G21" s="968"/>
      <c r="H21" s="968"/>
      <c r="I21" s="969"/>
      <c r="J21" s="5"/>
      <c r="K21" s="149"/>
      <c r="L21" s="150"/>
      <c r="M21" s="150"/>
      <c r="N21" s="150"/>
      <c r="O21" s="150"/>
      <c r="P21" s="151"/>
      <c r="Q21" s="156"/>
    </row>
    <row r="22" spans="2:17" s="1" customFormat="1" ht="17">
      <c r="B22" s="8" t="s">
        <v>56</v>
      </c>
      <c r="C22" s="9" t="s">
        <v>6</v>
      </c>
      <c r="D22" s="29">
        <v>0.08</v>
      </c>
      <c r="E22" s="30">
        <f>D22</f>
        <v>0.08</v>
      </c>
      <c r="F22" s="968"/>
      <c r="G22" s="968"/>
      <c r="H22" s="968"/>
      <c r="I22" s="969"/>
      <c r="J22" s="5"/>
      <c r="K22" s="149"/>
      <c r="L22" s="150"/>
      <c r="M22" s="150"/>
      <c r="N22" s="150"/>
      <c r="O22" s="150"/>
      <c r="P22" s="151"/>
      <c r="Q22" s="156"/>
    </row>
    <row r="23" spans="2:17" s="1" customFormat="1" ht="17">
      <c r="B23" s="8" t="s">
        <v>40</v>
      </c>
      <c r="C23" s="9" t="s">
        <v>57</v>
      </c>
      <c r="D23" s="28">
        <f>50*7*16</f>
        <v>5600</v>
      </c>
      <c r="E23" s="28">
        <f>6*50*16</f>
        <v>4800</v>
      </c>
      <c r="F23" s="968"/>
      <c r="G23" s="968"/>
      <c r="H23" s="968"/>
      <c r="I23" s="969"/>
      <c r="J23" s="5"/>
      <c r="K23" s="149"/>
      <c r="L23" s="150"/>
      <c r="M23" s="150"/>
      <c r="N23" s="150"/>
      <c r="O23" s="150"/>
      <c r="P23" s="151"/>
      <c r="Q23" s="156"/>
    </row>
    <row r="24" spans="2:17" s="1" customFormat="1" ht="17">
      <c r="B24" s="8" t="s">
        <v>32</v>
      </c>
      <c r="C24" s="9" t="s">
        <v>18</v>
      </c>
      <c r="D24" s="28">
        <v>20000</v>
      </c>
      <c r="E24" s="28">
        <v>30000</v>
      </c>
      <c r="F24" s="968" t="s">
        <v>72</v>
      </c>
      <c r="G24" s="968"/>
      <c r="H24" s="968"/>
      <c r="I24" s="969"/>
      <c r="J24" s="5"/>
      <c r="K24" s="149"/>
      <c r="L24" s="150"/>
      <c r="M24" s="150"/>
      <c r="N24" s="150"/>
      <c r="O24" s="150"/>
      <c r="P24" s="151"/>
      <c r="Q24" s="156"/>
    </row>
    <row r="25" spans="2:17" s="1" customFormat="1" ht="17">
      <c r="B25" s="8" t="s">
        <v>21</v>
      </c>
      <c r="C25" s="9" t="s">
        <v>7</v>
      </c>
      <c r="D25" s="31">
        <v>0.8</v>
      </c>
      <c r="E25" s="31">
        <v>0.92</v>
      </c>
      <c r="F25" s="968"/>
      <c r="G25" s="968"/>
      <c r="H25" s="968"/>
      <c r="I25" s="969"/>
      <c r="J25" s="5"/>
      <c r="K25" s="149"/>
      <c r="L25" s="150"/>
      <c r="M25" s="150"/>
      <c r="N25" s="150"/>
      <c r="O25" s="150"/>
      <c r="P25" s="151"/>
      <c r="Q25" s="156"/>
    </row>
    <row r="26" spans="2:17" s="1" customFormat="1" ht="17">
      <c r="B26" s="8" t="s">
        <v>31</v>
      </c>
      <c r="C26" s="9" t="str">
        <f>C24</f>
        <v>Units/year</v>
      </c>
      <c r="D26" s="19">
        <f>D24/D25</f>
        <v>25000</v>
      </c>
      <c r="E26" s="19">
        <f>E24/E25</f>
        <v>32608.695652173912</v>
      </c>
      <c r="F26" s="968"/>
      <c r="G26" s="968"/>
      <c r="H26" s="968"/>
      <c r="I26" s="969"/>
      <c r="J26" s="5"/>
      <c r="K26" s="149"/>
      <c r="L26" s="150"/>
      <c r="M26" s="150"/>
      <c r="N26" s="150"/>
      <c r="O26" s="150"/>
      <c r="P26" s="151"/>
      <c r="Q26" s="156"/>
    </row>
    <row r="27" spans="2:17" s="1" customFormat="1" ht="17">
      <c r="B27" s="8" t="s">
        <v>42</v>
      </c>
      <c r="C27" s="9" t="s">
        <v>43</v>
      </c>
      <c r="D27" s="28">
        <v>6.5</v>
      </c>
      <c r="E27" s="28">
        <v>1.2</v>
      </c>
      <c r="F27" s="968"/>
      <c r="G27" s="968"/>
      <c r="H27" s="968"/>
      <c r="I27" s="969"/>
      <c r="J27" s="5"/>
      <c r="K27" s="149"/>
      <c r="L27" s="150"/>
      <c r="M27" s="150"/>
      <c r="N27" s="150"/>
      <c r="O27" s="150"/>
      <c r="P27" s="151"/>
      <c r="Q27" s="156"/>
    </row>
    <row r="28" spans="2:17" s="1" customFormat="1" ht="17">
      <c r="B28" s="8" t="s">
        <v>44</v>
      </c>
      <c r="C28" s="9" t="s">
        <v>45</v>
      </c>
      <c r="D28" s="20">
        <f>D27*D23</f>
        <v>36400</v>
      </c>
      <c r="E28" s="20">
        <f>E27*E23</f>
        <v>5760</v>
      </c>
      <c r="F28" s="968"/>
      <c r="G28" s="968"/>
      <c r="H28" s="968"/>
      <c r="I28" s="969"/>
      <c r="J28" s="5"/>
      <c r="K28" s="149"/>
      <c r="L28" s="150"/>
      <c r="M28" s="150"/>
      <c r="N28" s="150"/>
      <c r="O28" s="150"/>
      <c r="P28" s="151"/>
      <c r="Q28" s="156"/>
    </row>
    <row r="29" spans="2:17" s="1" customFormat="1" ht="17">
      <c r="B29" s="8" t="s">
        <v>19</v>
      </c>
      <c r="C29" s="9" t="s">
        <v>8</v>
      </c>
      <c r="D29" s="21">
        <f>D28*D21</f>
        <v>182000</v>
      </c>
      <c r="E29" s="21">
        <f>E28*E21</f>
        <v>28800</v>
      </c>
      <c r="F29" s="968"/>
      <c r="G29" s="968"/>
      <c r="H29" s="968"/>
      <c r="I29" s="969"/>
      <c r="J29" s="5"/>
      <c r="K29" s="149"/>
      <c r="L29" s="150"/>
      <c r="M29" s="150"/>
      <c r="N29" s="150"/>
      <c r="O29" s="150"/>
      <c r="P29" s="151"/>
      <c r="Q29" s="156"/>
    </row>
    <row r="30" spans="2:17" s="1" customFormat="1" ht="17">
      <c r="B30" s="8" t="s">
        <v>78</v>
      </c>
      <c r="C30" s="9" t="s">
        <v>41</v>
      </c>
      <c r="D30" s="21">
        <f>D29/D24</f>
        <v>9.1</v>
      </c>
      <c r="E30" s="21">
        <f>E29/E24</f>
        <v>0.96</v>
      </c>
      <c r="F30" s="968" t="s">
        <v>33</v>
      </c>
      <c r="G30" s="968"/>
      <c r="H30" s="968"/>
      <c r="I30" s="969"/>
      <c r="J30" s="5"/>
      <c r="K30" s="149"/>
      <c r="L30" s="150"/>
      <c r="M30" s="150"/>
      <c r="N30" s="150"/>
      <c r="O30" s="150"/>
      <c r="P30" s="151"/>
      <c r="Q30" s="156"/>
    </row>
    <row r="31" spans="2:17" s="1" customFormat="1" ht="17">
      <c r="B31" s="8" t="s">
        <v>73</v>
      </c>
      <c r="C31" s="9" t="s">
        <v>74</v>
      </c>
      <c r="D31" s="13"/>
      <c r="E31" s="32">
        <v>1060</v>
      </c>
      <c r="F31" s="968"/>
      <c r="G31" s="968"/>
      <c r="H31" s="968"/>
      <c r="I31" s="969"/>
      <c r="J31" s="5"/>
      <c r="K31" s="149"/>
      <c r="L31" s="150"/>
      <c r="M31" s="150"/>
      <c r="N31" s="150"/>
      <c r="O31" s="150"/>
      <c r="P31" s="151"/>
      <c r="Q31" s="156"/>
    </row>
    <row r="32" spans="2:17" s="1" customFormat="1" ht="17">
      <c r="B32" s="8" t="s">
        <v>75</v>
      </c>
      <c r="C32" s="9" t="s">
        <v>39</v>
      </c>
      <c r="D32" s="13"/>
      <c r="E32" s="19">
        <f>E31*E23</f>
        <v>5088000</v>
      </c>
      <c r="F32" s="968"/>
      <c r="G32" s="968"/>
      <c r="H32" s="968"/>
      <c r="I32" s="969"/>
      <c r="J32" s="5"/>
      <c r="K32" s="149"/>
      <c r="L32" s="150"/>
      <c r="M32" s="150"/>
      <c r="N32" s="150"/>
      <c r="O32" s="150"/>
      <c r="P32" s="151"/>
      <c r="Q32" s="156"/>
    </row>
    <row r="33" spans="2:17" s="1" customFormat="1" ht="17">
      <c r="B33" s="8" t="s">
        <v>76</v>
      </c>
      <c r="C33" s="9" t="s">
        <v>8</v>
      </c>
      <c r="D33" s="13"/>
      <c r="E33" s="21">
        <f>E32*E22</f>
        <v>407040</v>
      </c>
      <c r="F33" s="968"/>
      <c r="G33" s="968"/>
      <c r="H33" s="968"/>
      <c r="I33" s="969"/>
      <c r="J33" s="5"/>
      <c r="K33" s="149"/>
      <c r="L33" s="150"/>
      <c r="M33" s="150"/>
      <c r="N33" s="150"/>
      <c r="O33" s="150"/>
      <c r="P33" s="151"/>
      <c r="Q33" s="156"/>
    </row>
    <row r="34" spans="2:17" s="1" customFormat="1" ht="17">
      <c r="B34" s="8" t="s">
        <v>79</v>
      </c>
      <c r="C34" s="9"/>
      <c r="D34" s="13"/>
      <c r="E34" s="21">
        <f>(E29+E33)/E24</f>
        <v>14.528</v>
      </c>
      <c r="F34" s="968"/>
      <c r="G34" s="968"/>
      <c r="H34" s="968"/>
      <c r="I34" s="969"/>
      <c r="J34" s="5"/>
      <c r="K34" s="149"/>
      <c r="L34" s="150"/>
      <c r="M34" s="150"/>
      <c r="N34" s="150"/>
      <c r="O34" s="150"/>
      <c r="P34" s="151"/>
      <c r="Q34" s="156"/>
    </row>
    <row r="35" spans="2:17" s="1" customFormat="1" ht="17">
      <c r="B35" s="8" t="s">
        <v>77</v>
      </c>
      <c r="C35" s="9" t="s">
        <v>80</v>
      </c>
      <c r="D35" s="22">
        <f>(D27/(D26/D23))</f>
        <v>1.456</v>
      </c>
      <c r="E35" s="22">
        <f>(E27/(E24/E23)+(E31*3414/10^6)/(E24/E23))</f>
        <v>0.7710144000000001</v>
      </c>
      <c r="F35" s="968" t="s">
        <v>81</v>
      </c>
      <c r="G35" s="968"/>
      <c r="H35" s="968"/>
      <c r="I35" s="969"/>
      <c r="J35" s="5"/>
      <c r="K35" s="149"/>
      <c r="L35" s="150"/>
      <c r="M35" s="150"/>
      <c r="N35" s="150"/>
      <c r="O35" s="150"/>
      <c r="P35" s="151"/>
      <c r="Q35" s="156"/>
    </row>
    <row r="36" spans="2:17" s="1" customFormat="1" ht="17">
      <c r="B36" s="8" t="s">
        <v>15</v>
      </c>
      <c r="C36" s="9" t="s">
        <v>7</v>
      </c>
      <c r="D36" s="23">
        <f>(D13*2000)/(D35*10^6)</f>
        <v>0.37774725274725274</v>
      </c>
      <c r="E36" s="24">
        <f>(D13*2000)/(E35*10^6)</f>
        <v>0.71334595047770821</v>
      </c>
      <c r="F36" s="968" t="s">
        <v>30</v>
      </c>
      <c r="G36" s="968"/>
      <c r="H36" s="968"/>
      <c r="I36" s="969"/>
      <c r="J36" s="5"/>
      <c r="K36" s="149"/>
      <c r="L36" s="150"/>
      <c r="M36" s="150"/>
      <c r="N36" s="150"/>
      <c r="O36" s="150"/>
      <c r="P36" s="151"/>
      <c r="Q36" s="156"/>
    </row>
    <row r="37" spans="2:17" s="1" customFormat="1" ht="17">
      <c r="B37" s="8" t="s">
        <v>38</v>
      </c>
      <c r="C37" s="9" t="s">
        <v>74</v>
      </c>
      <c r="D37" s="20">
        <v>4.25</v>
      </c>
      <c r="E37" s="20">
        <v>5.15</v>
      </c>
      <c r="F37" s="968"/>
      <c r="G37" s="968"/>
      <c r="H37" s="968"/>
      <c r="I37" s="969"/>
      <c r="J37" s="5"/>
      <c r="K37" s="149"/>
      <c r="L37" s="150"/>
      <c r="M37" s="150"/>
      <c r="N37" s="150"/>
      <c r="O37" s="150"/>
      <c r="P37" s="151"/>
      <c r="Q37" s="156"/>
    </row>
    <row r="38" spans="2:17" s="1" customFormat="1" ht="17">
      <c r="B38" s="8" t="s">
        <v>38</v>
      </c>
      <c r="C38" s="9" t="s">
        <v>39</v>
      </c>
      <c r="D38" s="20">
        <f>D37*D23</f>
        <v>23800</v>
      </c>
      <c r="E38" s="20">
        <f>E37*E23</f>
        <v>24720</v>
      </c>
      <c r="F38" s="968"/>
      <c r="G38" s="968"/>
      <c r="H38" s="968"/>
      <c r="I38" s="969"/>
      <c r="J38" s="5"/>
      <c r="K38" s="149"/>
      <c r="L38" s="150"/>
      <c r="M38" s="150"/>
      <c r="N38" s="150"/>
      <c r="O38" s="150"/>
      <c r="P38" s="151"/>
      <c r="Q38" s="156"/>
    </row>
    <row r="39" spans="2:17" s="1" customFormat="1" ht="17">
      <c r="B39" s="8" t="s">
        <v>23</v>
      </c>
      <c r="C39" s="9" t="s">
        <v>8</v>
      </c>
      <c r="D39" s="33">
        <v>200</v>
      </c>
      <c r="E39" s="33">
        <v>3500</v>
      </c>
      <c r="F39" s="968" t="s">
        <v>82</v>
      </c>
      <c r="G39" s="968"/>
      <c r="H39" s="968"/>
      <c r="I39" s="969"/>
      <c r="J39" s="5"/>
      <c r="K39" s="149"/>
      <c r="L39" s="150"/>
      <c r="M39" s="150"/>
      <c r="N39" s="150"/>
      <c r="O39" s="150"/>
      <c r="P39" s="151"/>
      <c r="Q39" s="156"/>
    </row>
    <row r="40" spans="2:17" s="1" customFormat="1" ht="17">
      <c r="B40" s="8" t="s">
        <v>20</v>
      </c>
      <c r="C40" s="9" t="s">
        <v>8</v>
      </c>
      <c r="D40" s="33">
        <v>20000</v>
      </c>
      <c r="E40" s="33">
        <v>5000</v>
      </c>
      <c r="F40" s="968"/>
      <c r="G40" s="968"/>
      <c r="H40" s="968"/>
      <c r="I40" s="969"/>
      <c r="J40" s="5"/>
      <c r="K40" s="149"/>
      <c r="L40" s="150"/>
      <c r="M40" s="150"/>
      <c r="N40" s="150"/>
      <c r="O40" s="150"/>
      <c r="P40" s="151"/>
      <c r="Q40" s="156"/>
    </row>
    <row r="41" spans="2:17" s="1" customFormat="1" ht="17">
      <c r="B41" s="8" t="s">
        <v>34</v>
      </c>
      <c r="C41" s="9" t="s">
        <v>8</v>
      </c>
      <c r="D41" s="33">
        <f>50*D23</f>
        <v>280000</v>
      </c>
      <c r="E41" s="33">
        <f>60*E23*0.5</f>
        <v>144000</v>
      </c>
      <c r="F41" s="968"/>
      <c r="G41" s="968"/>
      <c r="H41" s="968"/>
      <c r="I41" s="969"/>
      <c r="J41" s="5"/>
      <c r="K41" s="149"/>
      <c r="L41" s="150"/>
      <c r="M41" s="150"/>
      <c r="N41" s="150"/>
      <c r="O41" s="150"/>
      <c r="P41" s="151"/>
      <c r="Q41" s="156"/>
    </row>
    <row r="42" spans="2:17" s="1" customFormat="1" ht="17">
      <c r="B42" s="8" t="s">
        <v>88</v>
      </c>
      <c r="C42" s="9" t="s">
        <v>7</v>
      </c>
      <c r="D42" s="34">
        <v>1.4999999999999999E-2</v>
      </c>
      <c r="E42" s="34">
        <f>0.005</f>
        <v>5.0000000000000001E-3</v>
      </c>
      <c r="F42" s="968"/>
      <c r="G42" s="968"/>
      <c r="H42" s="968"/>
      <c r="I42" s="969"/>
      <c r="J42" s="5"/>
      <c r="K42" s="149"/>
      <c r="L42" s="150"/>
      <c r="M42" s="150"/>
      <c r="N42" s="150"/>
      <c r="O42" s="150"/>
      <c r="P42" s="151"/>
      <c r="Q42" s="156"/>
    </row>
    <row r="43" spans="2:17" s="1" customFormat="1" ht="17">
      <c r="B43" s="8" t="s">
        <v>89</v>
      </c>
      <c r="C43" s="9" t="s">
        <v>41</v>
      </c>
      <c r="D43" s="33">
        <v>500</v>
      </c>
      <c r="E43" s="33">
        <v>500</v>
      </c>
      <c r="F43" s="968"/>
      <c r="G43" s="968"/>
      <c r="H43" s="968"/>
      <c r="I43" s="969"/>
      <c r="J43" s="5"/>
      <c r="K43" s="149"/>
      <c r="L43" s="150"/>
      <c r="M43" s="150"/>
      <c r="N43" s="150"/>
      <c r="O43" s="150"/>
      <c r="P43" s="151"/>
      <c r="Q43" s="156"/>
    </row>
    <row r="44" spans="2:17" s="1" customFormat="1" ht="17">
      <c r="B44" s="8" t="s">
        <v>87</v>
      </c>
      <c r="C44" s="9" t="s">
        <v>8</v>
      </c>
      <c r="D44" s="25">
        <f>D43*D42*D26</f>
        <v>187500</v>
      </c>
      <c r="E44" s="25">
        <f>E43*E42*E26</f>
        <v>81521.739130434784</v>
      </c>
      <c r="F44" s="968" t="s">
        <v>36</v>
      </c>
      <c r="G44" s="968"/>
      <c r="H44" s="968"/>
      <c r="I44" s="969"/>
      <c r="J44" s="5"/>
      <c r="K44" s="149"/>
      <c r="L44" s="150"/>
      <c r="M44" s="150"/>
      <c r="N44" s="150"/>
      <c r="O44" s="150"/>
      <c r="P44" s="151"/>
      <c r="Q44" s="156"/>
    </row>
    <row r="45" spans="2:17" s="1" customFormat="1" ht="17">
      <c r="B45" s="8" t="s">
        <v>48</v>
      </c>
      <c r="C45" s="9" t="s">
        <v>8</v>
      </c>
      <c r="D45" s="33">
        <v>25000</v>
      </c>
      <c r="E45" s="33">
        <v>10000</v>
      </c>
      <c r="F45" s="968"/>
      <c r="G45" s="968"/>
      <c r="H45" s="968"/>
      <c r="I45" s="969"/>
      <c r="J45" s="5"/>
      <c r="K45" s="149"/>
      <c r="L45" s="150"/>
      <c r="M45" s="150"/>
      <c r="N45" s="150"/>
      <c r="O45" s="150"/>
      <c r="P45" s="151"/>
      <c r="Q45" s="156"/>
    </row>
    <row r="46" spans="2:17" s="1" customFormat="1" ht="17">
      <c r="B46" s="8" t="s">
        <v>35</v>
      </c>
      <c r="C46" s="9" t="s">
        <v>8</v>
      </c>
      <c r="D46" s="33">
        <f>1000000/15</f>
        <v>66666.666666666672</v>
      </c>
      <c r="E46" s="33">
        <f>1500000/15</f>
        <v>100000</v>
      </c>
      <c r="F46" s="968"/>
      <c r="G46" s="968"/>
      <c r="H46" s="968"/>
      <c r="I46" s="969"/>
      <c r="J46" s="5"/>
      <c r="K46" s="149"/>
      <c r="L46" s="150"/>
      <c r="M46" s="150"/>
      <c r="N46" s="150"/>
      <c r="O46" s="150"/>
      <c r="P46" s="151"/>
      <c r="Q46" s="156"/>
    </row>
    <row r="47" spans="2:17" s="1" customFormat="1" ht="17">
      <c r="B47" s="8" t="s">
        <v>47</v>
      </c>
      <c r="C47" s="9" t="s">
        <v>8</v>
      </c>
      <c r="D47" s="33">
        <v>0</v>
      </c>
      <c r="E47" s="33">
        <v>0</v>
      </c>
      <c r="F47" s="968" t="s">
        <v>37</v>
      </c>
      <c r="G47" s="968"/>
      <c r="H47" s="968"/>
      <c r="I47" s="969"/>
      <c r="J47" s="5"/>
      <c r="K47" s="149"/>
      <c r="L47" s="150"/>
      <c r="M47" s="150"/>
      <c r="N47" s="150"/>
      <c r="O47" s="150"/>
      <c r="P47" s="151"/>
      <c r="Q47" s="156"/>
    </row>
    <row r="48" spans="2:17" s="1" customFormat="1" ht="18" thickBot="1">
      <c r="B48" s="8" t="s">
        <v>22</v>
      </c>
      <c r="C48" s="9" t="s">
        <v>8</v>
      </c>
      <c r="D48" s="25">
        <f>SUM(D39:D47)+D29+D38*D22</f>
        <v>763770.68166666664</v>
      </c>
      <c r="E48" s="25">
        <f>SUM(E39:E47)+E29+E33+E38*E22</f>
        <v>782339.34413043479</v>
      </c>
      <c r="F48" s="968"/>
      <c r="G48" s="968"/>
      <c r="H48" s="968"/>
      <c r="I48" s="969"/>
      <c r="J48" s="5"/>
      <c r="K48" s="152"/>
      <c r="L48" s="153"/>
      <c r="M48" s="153"/>
      <c r="N48" s="153"/>
      <c r="O48" s="153"/>
      <c r="P48" s="154"/>
      <c r="Q48" s="156"/>
    </row>
    <row r="49" spans="2:17" s="1" customFormat="1" ht="19" thickTop="1" thickBot="1">
      <c r="B49" s="10" t="s">
        <v>83</v>
      </c>
      <c r="C49" s="11" t="s">
        <v>41</v>
      </c>
      <c r="D49" s="26">
        <f>D48/(D24)</f>
        <v>38.18853408333333</v>
      </c>
      <c r="E49" s="26">
        <f>E48/(E24)</f>
        <v>26.077978137681161</v>
      </c>
      <c r="F49" s="970"/>
      <c r="G49" s="970"/>
      <c r="H49" s="970"/>
      <c r="I49" s="971"/>
      <c r="J49" s="5"/>
      <c r="Q49" s="156"/>
    </row>
    <row r="50" spans="2:17" s="1" customFormat="1" ht="17" thickBot="1">
      <c r="F50" s="1032"/>
      <c r="G50" s="1032"/>
      <c r="H50" s="1032"/>
      <c r="I50" s="1032"/>
      <c r="J50" s="3"/>
      <c r="Q50" s="156"/>
    </row>
    <row r="51" spans="2:17" s="1" customFormat="1" ht="32.5" customHeight="1" thickBot="1">
      <c r="B51" s="1033" t="s">
        <v>84</v>
      </c>
      <c r="C51" s="1034"/>
      <c r="D51" s="1035">
        <f>D49/E49</f>
        <v>1.4643978103560538</v>
      </c>
      <c r="E51" s="1036"/>
      <c r="F51" s="1037" t="str">
        <f>IF((D51&gt;1), "Cost of fuel fired system is higher than the cost with use of electrotechnology", "Cost of fuel fired system is less than the cost with use of electrotechnology")</f>
        <v>Cost of fuel fired system is higher than the cost with use of electrotechnology</v>
      </c>
      <c r="G51" s="1037"/>
      <c r="H51" s="1037"/>
      <c r="I51" s="1038"/>
      <c r="J51" s="141"/>
      <c r="Q51" s="156"/>
    </row>
    <row r="52" spans="2:17" s="1" customFormat="1">
      <c r="J52" s="3"/>
      <c r="Q52" s="156"/>
    </row>
    <row r="53" spans="2:17" s="1" customFormat="1">
      <c r="B53" s="1032" t="s">
        <v>90</v>
      </c>
      <c r="C53" s="1032"/>
      <c r="D53" s="1032"/>
      <c r="E53" s="1032"/>
      <c r="F53" s="1032"/>
      <c r="G53" s="1032"/>
      <c r="H53" s="1032"/>
      <c r="I53" s="1032"/>
      <c r="J53" s="3"/>
      <c r="Q53" s="156"/>
    </row>
    <row r="54" spans="2:17" s="1" customFormat="1">
      <c r="J54" s="3"/>
      <c r="Q54" s="156"/>
    </row>
    <row r="55" spans="2:17" s="1" customFormat="1">
      <c r="J55" s="3"/>
      <c r="Q55" s="156"/>
    </row>
    <row r="56" spans="2:17" s="1" customFormat="1" ht="17">
      <c r="B56" s="1" t="s">
        <v>28</v>
      </c>
      <c r="J56" s="3"/>
      <c r="Q56" s="156"/>
    </row>
    <row r="57" spans="2:17" s="1" customFormat="1" ht="17">
      <c r="B57" s="4" t="s">
        <v>24</v>
      </c>
      <c r="C57" s="4" t="s">
        <v>64</v>
      </c>
      <c r="D57" s="4" t="s">
        <v>66</v>
      </c>
      <c r="J57" s="3"/>
      <c r="Q57" s="156"/>
    </row>
    <row r="58" spans="2:17" s="1" customFormat="1" ht="34">
      <c r="B58" s="4" t="s">
        <v>25</v>
      </c>
      <c r="C58" s="4" t="s">
        <v>65</v>
      </c>
      <c r="D58" s="4" t="s">
        <v>67</v>
      </c>
      <c r="J58" s="3"/>
      <c r="Q58" s="156"/>
    </row>
    <row r="59" spans="2:17" s="1" customFormat="1" ht="17">
      <c r="B59" s="4" t="s">
        <v>26</v>
      </c>
      <c r="C59" s="4"/>
      <c r="D59" s="4"/>
      <c r="J59" s="3"/>
    </row>
    <row r="60" spans="2:17" s="1" customFormat="1" ht="17">
      <c r="B60" s="4" t="s">
        <v>27</v>
      </c>
      <c r="C60" s="4"/>
      <c r="D60" s="4"/>
      <c r="J60" s="3"/>
    </row>
    <row r="61" spans="2:17" s="1" customFormat="1" ht="17">
      <c r="B61" s="4" t="s">
        <v>58</v>
      </c>
      <c r="C61" s="4"/>
      <c r="D61" s="4"/>
      <c r="J61" s="3"/>
    </row>
    <row r="62" spans="2:17" s="1" customFormat="1">
      <c r="J62" s="3"/>
    </row>
    <row r="63" spans="2:17" s="1" customFormat="1">
      <c r="J63" s="3"/>
    </row>
    <row r="64" spans="2:17" s="1" customFormat="1">
      <c r="J64" s="3"/>
    </row>
    <row r="65" spans="10:10" s="1" customFormat="1">
      <c r="J65" s="3"/>
    </row>
  </sheetData>
  <mergeCells count="56">
    <mergeCell ref="F12:I12"/>
    <mergeCell ref="F7:I7"/>
    <mergeCell ref="F8:I8"/>
    <mergeCell ref="F9:I9"/>
    <mergeCell ref="F10:I10"/>
    <mergeCell ref="F11:I11"/>
    <mergeCell ref="F13:I13"/>
    <mergeCell ref="F14:I14"/>
    <mergeCell ref="F17:I17"/>
    <mergeCell ref="F19:I19"/>
    <mergeCell ref="F20:I20"/>
    <mergeCell ref="F18:I18"/>
    <mergeCell ref="F16:I16"/>
    <mergeCell ref="F30:I30"/>
    <mergeCell ref="F36:I36"/>
    <mergeCell ref="F37:I37"/>
    <mergeCell ref="F39:I39"/>
    <mergeCell ref="F21:I21"/>
    <mergeCell ref="F22:I22"/>
    <mergeCell ref="F23:I23"/>
    <mergeCell ref="F25:I25"/>
    <mergeCell ref="F26:I26"/>
    <mergeCell ref="F27:I27"/>
    <mergeCell ref="F24:I24"/>
    <mergeCell ref="F50:I50"/>
    <mergeCell ref="D7:E7"/>
    <mergeCell ref="D8:E8"/>
    <mergeCell ref="D9:E9"/>
    <mergeCell ref="D10:E10"/>
    <mergeCell ref="D11:E11"/>
    <mergeCell ref="D12:E12"/>
    <mergeCell ref="D13:E13"/>
    <mergeCell ref="F40:I40"/>
    <mergeCell ref="F41:I41"/>
    <mergeCell ref="F44:I44"/>
    <mergeCell ref="F45:I45"/>
    <mergeCell ref="F46:I46"/>
    <mergeCell ref="F47:I47"/>
    <mergeCell ref="F28:I28"/>
    <mergeCell ref="F29:I29"/>
    <mergeCell ref="B53:I53"/>
    <mergeCell ref="B51:C51"/>
    <mergeCell ref="B3:I3"/>
    <mergeCell ref="B4:I4"/>
    <mergeCell ref="F42:I42"/>
    <mergeCell ref="F43:I43"/>
    <mergeCell ref="D51:E51"/>
    <mergeCell ref="F51:I51"/>
    <mergeCell ref="F31:I31"/>
    <mergeCell ref="F32:I32"/>
    <mergeCell ref="F33:I33"/>
    <mergeCell ref="F35:I35"/>
    <mergeCell ref="F34:I34"/>
    <mergeCell ref="F38:I38"/>
    <mergeCell ref="F48:I48"/>
    <mergeCell ref="F49:I49"/>
  </mergeCells>
  <dataValidations count="3">
    <dataValidation type="list" allowBlank="1" showInputMessage="1" showErrorMessage="1" sqref="D12:E12" xr:uid="{00000000-0002-0000-0900-000000000000}">
      <formula1>$B$57:$B$61</formula1>
    </dataValidation>
    <dataValidation type="list" allowBlank="1" showInputMessage="1" showErrorMessage="1" sqref="E18" xr:uid="{00000000-0002-0000-0900-000001000000}">
      <formula1>$C$57:$C$58</formula1>
    </dataValidation>
    <dataValidation type="list" allowBlank="1" showInputMessage="1" showErrorMessage="1" sqref="D19:E19" xr:uid="{00000000-0002-0000-0900-000002000000}">
      <formula1>$D$57:$D$58</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8">
    <pageSetUpPr fitToPage="1"/>
  </sheetPr>
  <dimension ref="B3:AL114"/>
  <sheetViews>
    <sheetView workbookViewId="0"/>
  </sheetViews>
  <sheetFormatPr baseColWidth="10" defaultColWidth="8.1640625" defaultRowHeight="16"/>
  <cols>
    <col min="1" max="1" width="9.6640625" style="63" bestFit="1" customWidth="1"/>
    <col min="2" max="2" width="3.1640625" style="63" customWidth="1"/>
    <col min="3" max="3" width="51.1640625" style="63" customWidth="1"/>
    <col min="4" max="4" width="12.6640625" style="63" customWidth="1"/>
    <col min="5" max="5" width="17.83203125" style="63" customWidth="1"/>
    <col min="6" max="6" width="19.1640625" style="63" customWidth="1"/>
    <col min="7" max="7" width="14.5" style="63" customWidth="1"/>
    <col min="8" max="8" width="13.6640625" style="63" customWidth="1"/>
    <col min="9" max="9" width="20.1640625" style="35" customWidth="1"/>
    <col min="10" max="10" width="8.6640625" style="35" customWidth="1"/>
    <col min="11" max="11" width="9.33203125" style="35" customWidth="1"/>
    <col min="12" max="14" width="8.1640625" style="35" customWidth="1"/>
    <col min="15" max="15" width="27.6640625" style="35" customWidth="1"/>
    <col min="16" max="27" width="8.1640625" style="35" customWidth="1"/>
    <col min="28" max="256" width="8.1640625" style="63"/>
    <col min="257" max="257" width="9.6640625" style="63" bestFit="1" customWidth="1"/>
    <col min="258" max="258" width="3.1640625" style="63" customWidth="1"/>
    <col min="259" max="259" width="51.1640625" style="63" customWidth="1"/>
    <col min="260" max="260" width="12.6640625" style="63" customWidth="1"/>
    <col min="261" max="261" width="17.83203125" style="63" customWidth="1"/>
    <col min="262" max="262" width="19.1640625" style="63" customWidth="1"/>
    <col min="263" max="263" width="14.5" style="63" customWidth="1"/>
    <col min="264" max="264" width="13.6640625" style="63" customWidth="1"/>
    <col min="265" max="265" width="20.1640625" style="63" customWidth="1"/>
    <col min="266" max="266" width="8.6640625" style="63" customWidth="1"/>
    <col min="267" max="267" width="9.33203125" style="63" customWidth="1"/>
    <col min="268" max="270" width="8.1640625" style="63" customWidth="1"/>
    <col min="271" max="271" width="27.6640625" style="63" customWidth="1"/>
    <col min="272" max="283" width="8.1640625" style="63" customWidth="1"/>
    <col min="284" max="512" width="8.1640625" style="63"/>
    <col min="513" max="513" width="9.6640625" style="63" bestFit="1" customWidth="1"/>
    <col min="514" max="514" width="3.1640625" style="63" customWidth="1"/>
    <col min="515" max="515" width="51.1640625" style="63" customWidth="1"/>
    <col min="516" max="516" width="12.6640625" style="63" customWidth="1"/>
    <col min="517" max="517" width="17.83203125" style="63" customWidth="1"/>
    <col min="518" max="518" width="19.1640625" style="63" customWidth="1"/>
    <col min="519" max="519" width="14.5" style="63" customWidth="1"/>
    <col min="520" max="520" width="13.6640625" style="63" customWidth="1"/>
    <col min="521" max="521" width="20.1640625" style="63" customWidth="1"/>
    <col min="522" max="522" width="8.6640625" style="63" customWidth="1"/>
    <col min="523" max="523" width="9.33203125" style="63" customWidth="1"/>
    <col min="524" max="526" width="8.1640625" style="63" customWidth="1"/>
    <col min="527" max="527" width="27.6640625" style="63" customWidth="1"/>
    <col min="528" max="539" width="8.1640625" style="63" customWidth="1"/>
    <col min="540" max="768" width="8.1640625" style="63"/>
    <col min="769" max="769" width="9.6640625" style="63" bestFit="1" customWidth="1"/>
    <col min="770" max="770" width="3.1640625" style="63" customWidth="1"/>
    <col min="771" max="771" width="51.1640625" style="63" customWidth="1"/>
    <col min="772" max="772" width="12.6640625" style="63" customWidth="1"/>
    <col min="773" max="773" width="17.83203125" style="63" customWidth="1"/>
    <col min="774" max="774" width="19.1640625" style="63" customWidth="1"/>
    <col min="775" max="775" width="14.5" style="63" customWidth="1"/>
    <col min="776" max="776" width="13.6640625" style="63" customWidth="1"/>
    <col min="777" max="777" width="20.1640625" style="63" customWidth="1"/>
    <col min="778" max="778" width="8.6640625" style="63" customWidth="1"/>
    <col min="779" max="779" width="9.33203125" style="63" customWidth="1"/>
    <col min="780" max="782" width="8.1640625" style="63" customWidth="1"/>
    <col min="783" max="783" width="27.6640625" style="63" customWidth="1"/>
    <col min="784" max="795" width="8.1640625" style="63" customWidth="1"/>
    <col min="796" max="1024" width="8.1640625" style="63"/>
    <col min="1025" max="1025" width="9.6640625" style="63" bestFit="1" customWidth="1"/>
    <col min="1026" max="1026" width="3.1640625" style="63" customWidth="1"/>
    <col min="1027" max="1027" width="51.1640625" style="63" customWidth="1"/>
    <col min="1028" max="1028" width="12.6640625" style="63" customWidth="1"/>
    <col min="1029" max="1029" width="17.83203125" style="63" customWidth="1"/>
    <col min="1030" max="1030" width="19.1640625" style="63" customWidth="1"/>
    <col min="1031" max="1031" width="14.5" style="63" customWidth="1"/>
    <col min="1032" max="1032" width="13.6640625" style="63" customWidth="1"/>
    <col min="1033" max="1033" width="20.1640625" style="63" customWidth="1"/>
    <col min="1034" max="1034" width="8.6640625" style="63" customWidth="1"/>
    <col min="1035" max="1035" width="9.33203125" style="63" customWidth="1"/>
    <col min="1036" max="1038" width="8.1640625" style="63" customWidth="1"/>
    <col min="1039" max="1039" width="27.6640625" style="63" customWidth="1"/>
    <col min="1040" max="1051" width="8.1640625" style="63" customWidth="1"/>
    <col min="1052" max="1280" width="8.1640625" style="63"/>
    <col min="1281" max="1281" width="9.6640625" style="63" bestFit="1" customWidth="1"/>
    <col min="1282" max="1282" width="3.1640625" style="63" customWidth="1"/>
    <col min="1283" max="1283" width="51.1640625" style="63" customWidth="1"/>
    <col min="1284" max="1284" width="12.6640625" style="63" customWidth="1"/>
    <col min="1285" max="1285" width="17.83203125" style="63" customWidth="1"/>
    <col min="1286" max="1286" width="19.1640625" style="63" customWidth="1"/>
    <col min="1287" max="1287" width="14.5" style="63" customWidth="1"/>
    <col min="1288" max="1288" width="13.6640625" style="63" customWidth="1"/>
    <col min="1289" max="1289" width="20.1640625" style="63" customWidth="1"/>
    <col min="1290" max="1290" width="8.6640625" style="63" customWidth="1"/>
    <col min="1291" max="1291" width="9.33203125" style="63" customWidth="1"/>
    <col min="1292" max="1294" width="8.1640625" style="63" customWidth="1"/>
    <col min="1295" max="1295" width="27.6640625" style="63" customWidth="1"/>
    <col min="1296" max="1307" width="8.1640625" style="63" customWidth="1"/>
    <col min="1308" max="1536" width="8.1640625" style="63"/>
    <col min="1537" max="1537" width="9.6640625" style="63" bestFit="1" customWidth="1"/>
    <col min="1538" max="1538" width="3.1640625" style="63" customWidth="1"/>
    <col min="1539" max="1539" width="51.1640625" style="63" customWidth="1"/>
    <col min="1540" max="1540" width="12.6640625" style="63" customWidth="1"/>
    <col min="1541" max="1541" width="17.83203125" style="63" customWidth="1"/>
    <col min="1542" max="1542" width="19.1640625" style="63" customWidth="1"/>
    <col min="1543" max="1543" width="14.5" style="63" customWidth="1"/>
    <col min="1544" max="1544" width="13.6640625" style="63" customWidth="1"/>
    <col min="1545" max="1545" width="20.1640625" style="63" customWidth="1"/>
    <col min="1546" max="1546" width="8.6640625" style="63" customWidth="1"/>
    <col min="1547" max="1547" width="9.33203125" style="63" customWidth="1"/>
    <col min="1548" max="1550" width="8.1640625" style="63" customWidth="1"/>
    <col min="1551" max="1551" width="27.6640625" style="63" customWidth="1"/>
    <col min="1552" max="1563" width="8.1640625" style="63" customWidth="1"/>
    <col min="1564" max="1792" width="8.1640625" style="63"/>
    <col min="1793" max="1793" width="9.6640625" style="63" bestFit="1" customWidth="1"/>
    <col min="1794" max="1794" width="3.1640625" style="63" customWidth="1"/>
    <col min="1795" max="1795" width="51.1640625" style="63" customWidth="1"/>
    <col min="1796" max="1796" width="12.6640625" style="63" customWidth="1"/>
    <col min="1797" max="1797" width="17.83203125" style="63" customWidth="1"/>
    <col min="1798" max="1798" width="19.1640625" style="63" customWidth="1"/>
    <col min="1799" max="1799" width="14.5" style="63" customWidth="1"/>
    <col min="1800" max="1800" width="13.6640625" style="63" customWidth="1"/>
    <col min="1801" max="1801" width="20.1640625" style="63" customWidth="1"/>
    <col min="1802" max="1802" width="8.6640625" style="63" customWidth="1"/>
    <col min="1803" max="1803" width="9.33203125" style="63" customWidth="1"/>
    <col min="1804" max="1806" width="8.1640625" style="63" customWidth="1"/>
    <col min="1807" max="1807" width="27.6640625" style="63" customWidth="1"/>
    <col min="1808" max="1819" width="8.1640625" style="63" customWidth="1"/>
    <col min="1820" max="2048" width="8.1640625" style="63"/>
    <col min="2049" max="2049" width="9.6640625" style="63" bestFit="1" customWidth="1"/>
    <col min="2050" max="2050" width="3.1640625" style="63" customWidth="1"/>
    <col min="2051" max="2051" width="51.1640625" style="63" customWidth="1"/>
    <col min="2052" max="2052" width="12.6640625" style="63" customWidth="1"/>
    <col min="2053" max="2053" width="17.83203125" style="63" customWidth="1"/>
    <col min="2054" max="2054" width="19.1640625" style="63" customWidth="1"/>
    <col min="2055" max="2055" width="14.5" style="63" customWidth="1"/>
    <col min="2056" max="2056" width="13.6640625" style="63" customWidth="1"/>
    <col min="2057" max="2057" width="20.1640625" style="63" customWidth="1"/>
    <col min="2058" max="2058" width="8.6640625" style="63" customWidth="1"/>
    <col min="2059" max="2059" width="9.33203125" style="63" customWidth="1"/>
    <col min="2060" max="2062" width="8.1640625" style="63" customWidth="1"/>
    <col min="2063" max="2063" width="27.6640625" style="63" customWidth="1"/>
    <col min="2064" max="2075" width="8.1640625" style="63" customWidth="1"/>
    <col min="2076" max="2304" width="8.1640625" style="63"/>
    <col min="2305" max="2305" width="9.6640625" style="63" bestFit="1" customWidth="1"/>
    <col min="2306" max="2306" width="3.1640625" style="63" customWidth="1"/>
    <col min="2307" max="2307" width="51.1640625" style="63" customWidth="1"/>
    <col min="2308" max="2308" width="12.6640625" style="63" customWidth="1"/>
    <col min="2309" max="2309" width="17.83203125" style="63" customWidth="1"/>
    <col min="2310" max="2310" width="19.1640625" style="63" customWidth="1"/>
    <col min="2311" max="2311" width="14.5" style="63" customWidth="1"/>
    <col min="2312" max="2312" width="13.6640625" style="63" customWidth="1"/>
    <col min="2313" max="2313" width="20.1640625" style="63" customWidth="1"/>
    <col min="2314" max="2314" width="8.6640625" style="63" customWidth="1"/>
    <col min="2315" max="2315" width="9.33203125" style="63" customWidth="1"/>
    <col min="2316" max="2318" width="8.1640625" style="63" customWidth="1"/>
    <col min="2319" max="2319" width="27.6640625" style="63" customWidth="1"/>
    <col min="2320" max="2331" width="8.1640625" style="63" customWidth="1"/>
    <col min="2332" max="2560" width="8.1640625" style="63"/>
    <col min="2561" max="2561" width="9.6640625" style="63" bestFit="1" customWidth="1"/>
    <col min="2562" max="2562" width="3.1640625" style="63" customWidth="1"/>
    <col min="2563" max="2563" width="51.1640625" style="63" customWidth="1"/>
    <col min="2564" max="2564" width="12.6640625" style="63" customWidth="1"/>
    <col min="2565" max="2565" width="17.83203125" style="63" customWidth="1"/>
    <col min="2566" max="2566" width="19.1640625" style="63" customWidth="1"/>
    <col min="2567" max="2567" width="14.5" style="63" customWidth="1"/>
    <col min="2568" max="2568" width="13.6640625" style="63" customWidth="1"/>
    <col min="2569" max="2569" width="20.1640625" style="63" customWidth="1"/>
    <col min="2570" max="2570" width="8.6640625" style="63" customWidth="1"/>
    <col min="2571" max="2571" width="9.33203125" style="63" customWidth="1"/>
    <col min="2572" max="2574" width="8.1640625" style="63" customWidth="1"/>
    <col min="2575" max="2575" width="27.6640625" style="63" customWidth="1"/>
    <col min="2576" max="2587" width="8.1640625" style="63" customWidth="1"/>
    <col min="2588" max="2816" width="8.1640625" style="63"/>
    <col min="2817" max="2817" width="9.6640625" style="63" bestFit="1" customWidth="1"/>
    <col min="2818" max="2818" width="3.1640625" style="63" customWidth="1"/>
    <col min="2819" max="2819" width="51.1640625" style="63" customWidth="1"/>
    <col min="2820" max="2820" width="12.6640625" style="63" customWidth="1"/>
    <col min="2821" max="2821" width="17.83203125" style="63" customWidth="1"/>
    <col min="2822" max="2822" width="19.1640625" style="63" customWidth="1"/>
    <col min="2823" max="2823" width="14.5" style="63" customWidth="1"/>
    <col min="2824" max="2824" width="13.6640625" style="63" customWidth="1"/>
    <col min="2825" max="2825" width="20.1640625" style="63" customWidth="1"/>
    <col min="2826" max="2826" width="8.6640625" style="63" customWidth="1"/>
    <col min="2827" max="2827" width="9.33203125" style="63" customWidth="1"/>
    <col min="2828" max="2830" width="8.1640625" style="63" customWidth="1"/>
    <col min="2831" max="2831" width="27.6640625" style="63" customWidth="1"/>
    <col min="2832" max="2843" width="8.1640625" style="63" customWidth="1"/>
    <col min="2844" max="3072" width="8.1640625" style="63"/>
    <col min="3073" max="3073" width="9.6640625" style="63" bestFit="1" customWidth="1"/>
    <col min="3074" max="3074" width="3.1640625" style="63" customWidth="1"/>
    <col min="3075" max="3075" width="51.1640625" style="63" customWidth="1"/>
    <col min="3076" max="3076" width="12.6640625" style="63" customWidth="1"/>
    <col min="3077" max="3077" width="17.83203125" style="63" customWidth="1"/>
    <col min="3078" max="3078" width="19.1640625" style="63" customWidth="1"/>
    <col min="3079" max="3079" width="14.5" style="63" customWidth="1"/>
    <col min="3080" max="3080" width="13.6640625" style="63" customWidth="1"/>
    <col min="3081" max="3081" width="20.1640625" style="63" customWidth="1"/>
    <col min="3082" max="3082" width="8.6640625" style="63" customWidth="1"/>
    <col min="3083" max="3083" width="9.33203125" style="63" customWidth="1"/>
    <col min="3084" max="3086" width="8.1640625" style="63" customWidth="1"/>
    <col min="3087" max="3087" width="27.6640625" style="63" customWidth="1"/>
    <col min="3088" max="3099" width="8.1640625" style="63" customWidth="1"/>
    <col min="3100" max="3328" width="8.1640625" style="63"/>
    <col min="3329" max="3329" width="9.6640625" style="63" bestFit="1" customWidth="1"/>
    <col min="3330" max="3330" width="3.1640625" style="63" customWidth="1"/>
    <col min="3331" max="3331" width="51.1640625" style="63" customWidth="1"/>
    <col min="3332" max="3332" width="12.6640625" style="63" customWidth="1"/>
    <col min="3333" max="3333" width="17.83203125" style="63" customWidth="1"/>
    <col min="3334" max="3334" width="19.1640625" style="63" customWidth="1"/>
    <col min="3335" max="3335" width="14.5" style="63" customWidth="1"/>
    <col min="3336" max="3336" width="13.6640625" style="63" customWidth="1"/>
    <col min="3337" max="3337" width="20.1640625" style="63" customWidth="1"/>
    <col min="3338" max="3338" width="8.6640625" style="63" customWidth="1"/>
    <col min="3339" max="3339" width="9.33203125" style="63" customWidth="1"/>
    <col min="3340" max="3342" width="8.1640625" style="63" customWidth="1"/>
    <col min="3343" max="3343" width="27.6640625" style="63" customWidth="1"/>
    <col min="3344" max="3355" width="8.1640625" style="63" customWidth="1"/>
    <col min="3356" max="3584" width="8.1640625" style="63"/>
    <col min="3585" max="3585" width="9.6640625" style="63" bestFit="1" customWidth="1"/>
    <col min="3586" max="3586" width="3.1640625" style="63" customWidth="1"/>
    <col min="3587" max="3587" width="51.1640625" style="63" customWidth="1"/>
    <col min="3588" max="3588" width="12.6640625" style="63" customWidth="1"/>
    <col min="3589" max="3589" width="17.83203125" style="63" customWidth="1"/>
    <col min="3590" max="3590" width="19.1640625" style="63" customWidth="1"/>
    <col min="3591" max="3591" width="14.5" style="63" customWidth="1"/>
    <col min="3592" max="3592" width="13.6640625" style="63" customWidth="1"/>
    <col min="3593" max="3593" width="20.1640625" style="63" customWidth="1"/>
    <col min="3594" max="3594" width="8.6640625" style="63" customWidth="1"/>
    <col min="3595" max="3595" width="9.33203125" style="63" customWidth="1"/>
    <col min="3596" max="3598" width="8.1640625" style="63" customWidth="1"/>
    <col min="3599" max="3599" width="27.6640625" style="63" customWidth="1"/>
    <col min="3600" max="3611" width="8.1640625" style="63" customWidth="1"/>
    <col min="3612" max="3840" width="8.1640625" style="63"/>
    <col min="3841" max="3841" width="9.6640625" style="63" bestFit="1" customWidth="1"/>
    <col min="3842" max="3842" width="3.1640625" style="63" customWidth="1"/>
    <col min="3843" max="3843" width="51.1640625" style="63" customWidth="1"/>
    <col min="3844" max="3844" width="12.6640625" style="63" customWidth="1"/>
    <col min="3845" max="3845" width="17.83203125" style="63" customWidth="1"/>
    <col min="3846" max="3846" width="19.1640625" style="63" customWidth="1"/>
    <col min="3847" max="3847" width="14.5" style="63" customWidth="1"/>
    <col min="3848" max="3848" width="13.6640625" style="63" customWidth="1"/>
    <col min="3849" max="3849" width="20.1640625" style="63" customWidth="1"/>
    <col min="3850" max="3850" width="8.6640625" style="63" customWidth="1"/>
    <col min="3851" max="3851" width="9.33203125" style="63" customWidth="1"/>
    <col min="3852" max="3854" width="8.1640625" style="63" customWidth="1"/>
    <col min="3855" max="3855" width="27.6640625" style="63" customWidth="1"/>
    <col min="3856" max="3867" width="8.1640625" style="63" customWidth="1"/>
    <col min="3868" max="4096" width="8.1640625" style="63"/>
    <col min="4097" max="4097" width="9.6640625" style="63" bestFit="1" customWidth="1"/>
    <col min="4098" max="4098" width="3.1640625" style="63" customWidth="1"/>
    <col min="4099" max="4099" width="51.1640625" style="63" customWidth="1"/>
    <col min="4100" max="4100" width="12.6640625" style="63" customWidth="1"/>
    <col min="4101" max="4101" width="17.83203125" style="63" customWidth="1"/>
    <col min="4102" max="4102" width="19.1640625" style="63" customWidth="1"/>
    <col min="4103" max="4103" width="14.5" style="63" customWidth="1"/>
    <col min="4104" max="4104" width="13.6640625" style="63" customWidth="1"/>
    <col min="4105" max="4105" width="20.1640625" style="63" customWidth="1"/>
    <col min="4106" max="4106" width="8.6640625" style="63" customWidth="1"/>
    <col min="4107" max="4107" width="9.33203125" style="63" customWidth="1"/>
    <col min="4108" max="4110" width="8.1640625" style="63" customWidth="1"/>
    <col min="4111" max="4111" width="27.6640625" style="63" customWidth="1"/>
    <col min="4112" max="4123" width="8.1640625" style="63" customWidth="1"/>
    <col min="4124" max="4352" width="8.1640625" style="63"/>
    <col min="4353" max="4353" width="9.6640625" style="63" bestFit="1" customWidth="1"/>
    <col min="4354" max="4354" width="3.1640625" style="63" customWidth="1"/>
    <col min="4355" max="4355" width="51.1640625" style="63" customWidth="1"/>
    <col min="4356" max="4356" width="12.6640625" style="63" customWidth="1"/>
    <col min="4357" max="4357" width="17.83203125" style="63" customWidth="1"/>
    <col min="4358" max="4358" width="19.1640625" style="63" customWidth="1"/>
    <col min="4359" max="4359" width="14.5" style="63" customWidth="1"/>
    <col min="4360" max="4360" width="13.6640625" style="63" customWidth="1"/>
    <col min="4361" max="4361" width="20.1640625" style="63" customWidth="1"/>
    <col min="4362" max="4362" width="8.6640625" style="63" customWidth="1"/>
    <col min="4363" max="4363" width="9.33203125" style="63" customWidth="1"/>
    <col min="4364" max="4366" width="8.1640625" style="63" customWidth="1"/>
    <col min="4367" max="4367" width="27.6640625" style="63" customWidth="1"/>
    <col min="4368" max="4379" width="8.1640625" style="63" customWidth="1"/>
    <col min="4380" max="4608" width="8.1640625" style="63"/>
    <col min="4609" max="4609" width="9.6640625" style="63" bestFit="1" customWidth="1"/>
    <col min="4610" max="4610" width="3.1640625" style="63" customWidth="1"/>
    <col min="4611" max="4611" width="51.1640625" style="63" customWidth="1"/>
    <col min="4612" max="4612" width="12.6640625" style="63" customWidth="1"/>
    <col min="4613" max="4613" width="17.83203125" style="63" customWidth="1"/>
    <col min="4614" max="4614" width="19.1640625" style="63" customWidth="1"/>
    <col min="4615" max="4615" width="14.5" style="63" customWidth="1"/>
    <col min="4616" max="4616" width="13.6640625" style="63" customWidth="1"/>
    <col min="4617" max="4617" width="20.1640625" style="63" customWidth="1"/>
    <col min="4618" max="4618" width="8.6640625" style="63" customWidth="1"/>
    <col min="4619" max="4619" width="9.33203125" style="63" customWidth="1"/>
    <col min="4620" max="4622" width="8.1640625" style="63" customWidth="1"/>
    <col min="4623" max="4623" width="27.6640625" style="63" customWidth="1"/>
    <col min="4624" max="4635" width="8.1640625" style="63" customWidth="1"/>
    <col min="4636" max="4864" width="8.1640625" style="63"/>
    <col min="4865" max="4865" width="9.6640625" style="63" bestFit="1" customWidth="1"/>
    <col min="4866" max="4866" width="3.1640625" style="63" customWidth="1"/>
    <col min="4867" max="4867" width="51.1640625" style="63" customWidth="1"/>
    <col min="4868" max="4868" width="12.6640625" style="63" customWidth="1"/>
    <col min="4869" max="4869" width="17.83203125" style="63" customWidth="1"/>
    <col min="4870" max="4870" width="19.1640625" style="63" customWidth="1"/>
    <col min="4871" max="4871" width="14.5" style="63" customWidth="1"/>
    <col min="4872" max="4872" width="13.6640625" style="63" customWidth="1"/>
    <col min="4873" max="4873" width="20.1640625" style="63" customWidth="1"/>
    <col min="4874" max="4874" width="8.6640625" style="63" customWidth="1"/>
    <col min="4875" max="4875" width="9.33203125" style="63" customWidth="1"/>
    <col min="4876" max="4878" width="8.1640625" style="63" customWidth="1"/>
    <col min="4879" max="4879" width="27.6640625" style="63" customWidth="1"/>
    <col min="4880" max="4891" width="8.1640625" style="63" customWidth="1"/>
    <col min="4892" max="5120" width="8.1640625" style="63"/>
    <col min="5121" max="5121" width="9.6640625" style="63" bestFit="1" customWidth="1"/>
    <col min="5122" max="5122" width="3.1640625" style="63" customWidth="1"/>
    <col min="5123" max="5123" width="51.1640625" style="63" customWidth="1"/>
    <col min="5124" max="5124" width="12.6640625" style="63" customWidth="1"/>
    <col min="5125" max="5125" width="17.83203125" style="63" customWidth="1"/>
    <col min="5126" max="5126" width="19.1640625" style="63" customWidth="1"/>
    <col min="5127" max="5127" width="14.5" style="63" customWidth="1"/>
    <col min="5128" max="5128" width="13.6640625" style="63" customWidth="1"/>
    <col min="5129" max="5129" width="20.1640625" style="63" customWidth="1"/>
    <col min="5130" max="5130" width="8.6640625" style="63" customWidth="1"/>
    <col min="5131" max="5131" width="9.33203125" style="63" customWidth="1"/>
    <col min="5132" max="5134" width="8.1640625" style="63" customWidth="1"/>
    <col min="5135" max="5135" width="27.6640625" style="63" customWidth="1"/>
    <col min="5136" max="5147" width="8.1640625" style="63" customWidth="1"/>
    <col min="5148" max="5376" width="8.1640625" style="63"/>
    <col min="5377" max="5377" width="9.6640625" style="63" bestFit="1" customWidth="1"/>
    <col min="5378" max="5378" width="3.1640625" style="63" customWidth="1"/>
    <col min="5379" max="5379" width="51.1640625" style="63" customWidth="1"/>
    <col min="5380" max="5380" width="12.6640625" style="63" customWidth="1"/>
    <col min="5381" max="5381" width="17.83203125" style="63" customWidth="1"/>
    <col min="5382" max="5382" width="19.1640625" style="63" customWidth="1"/>
    <col min="5383" max="5383" width="14.5" style="63" customWidth="1"/>
    <col min="5384" max="5384" width="13.6640625" style="63" customWidth="1"/>
    <col min="5385" max="5385" width="20.1640625" style="63" customWidth="1"/>
    <col min="5386" max="5386" width="8.6640625" style="63" customWidth="1"/>
    <col min="5387" max="5387" width="9.33203125" style="63" customWidth="1"/>
    <col min="5388" max="5390" width="8.1640625" style="63" customWidth="1"/>
    <col min="5391" max="5391" width="27.6640625" style="63" customWidth="1"/>
    <col min="5392" max="5403" width="8.1640625" style="63" customWidth="1"/>
    <col min="5404" max="5632" width="8.1640625" style="63"/>
    <col min="5633" max="5633" width="9.6640625" style="63" bestFit="1" customWidth="1"/>
    <col min="5634" max="5634" width="3.1640625" style="63" customWidth="1"/>
    <col min="5635" max="5635" width="51.1640625" style="63" customWidth="1"/>
    <col min="5636" max="5636" width="12.6640625" style="63" customWidth="1"/>
    <col min="5637" max="5637" width="17.83203125" style="63" customWidth="1"/>
    <col min="5638" max="5638" width="19.1640625" style="63" customWidth="1"/>
    <col min="5639" max="5639" width="14.5" style="63" customWidth="1"/>
    <col min="5640" max="5640" width="13.6640625" style="63" customWidth="1"/>
    <col min="5641" max="5641" width="20.1640625" style="63" customWidth="1"/>
    <col min="5642" max="5642" width="8.6640625" style="63" customWidth="1"/>
    <col min="5643" max="5643" width="9.33203125" style="63" customWidth="1"/>
    <col min="5644" max="5646" width="8.1640625" style="63" customWidth="1"/>
    <col min="5647" max="5647" width="27.6640625" style="63" customWidth="1"/>
    <col min="5648" max="5659" width="8.1640625" style="63" customWidth="1"/>
    <col min="5660" max="5888" width="8.1640625" style="63"/>
    <col min="5889" max="5889" width="9.6640625" style="63" bestFit="1" customWidth="1"/>
    <col min="5890" max="5890" width="3.1640625" style="63" customWidth="1"/>
    <col min="5891" max="5891" width="51.1640625" style="63" customWidth="1"/>
    <col min="5892" max="5892" width="12.6640625" style="63" customWidth="1"/>
    <col min="5893" max="5893" width="17.83203125" style="63" customWidth="1"/>
    <col min="5894" max="5894" width="19.1640625" style="63" customWidth="1"/>
    <col min="5895" max="5895" width="14.5" style="63" customWidth="1"/>
    <col min="5896" max="5896" width="13.6640625" style="63" customWidth="1"/>
    <col min="5897" max="5897" width="20.1640625" style="63" customWidth="1"/>
    <col min="5898" max="5898" width="8.6640625" style="63" customWidth="1"/>
    <col min="5899" max="5899" width="9.33203125" style="63" customWidth="1"/>
    <col min="5900" max="5902" width="8.1640625" style="63" customWidth="1"/>
    <col min="5903" max="5903" width="27.6640625" style="63" customWidth="1"/>
    <col min="5904" max="5915" width="8.1640625" style="63" customWidth="1"/>
    <col min="5916" max="6144" width="8.1640625" style="63"/>
    <col min="6145" max="6145" width="9.6640625" style="63" bestFit="1" customWidth="1"/>
    <col min="6146" max="6146" width="3.1640625" style="63" customWidth="1"/>
    <col min="6147" max="6147" width="51.1640625" style="63" customWidth="1"/>
    <col min="6148" max="6148" width="12.6640625" style="63" customWidth="1"/>
    <col min="6149" max="6149" width="17.83203125" style="63" customWidth="1"/>
    <col min="6150" max="6150" width="19.1640625" style="63" customWidth="1"/>
    <col min="6151" max="6151" width="14.5" style="63" customWidth="1"/>
    <col min="6152" max="6152" width="13.6640625" style="63" customWidth="1"/>
    <col min="6153" max="6153" width="20.1640625" style="63" customWidth="1"/>
    <col min="6154" max="6154" width="8.6640625" style="63" customWidth="1"/>
    <col min="6155" max="6155" width="9.33203125" style="63" customWidth="1"/>
    <col min="6156" max="6158" width="8.1640625" style="63" customWidth="1"/>
    <col min="6159" max="6159" width="27.6640625" style="63" customWidth="1"/>
    <col min="6160" max="6171" width="8.1640625" style="63" customWidth="1"/>
    <col min="6172" max="6400" width="8.1640625" style="63"/>
    <col min="6401" max="6401" width="9.6640625" style="63" bestFit="1" customWidth="1"/>
    <col min="6402" max="6402" width="3.1640625" style="63" customWidth="1"/>
    <col min="6403" max="6403" width="51.1640625" style="63" customWidth="1"/>
    <col min="6404" max="6404" width="12.6640625" style="63" customWidth="1"/>
    <col min="6405" max="6405" width="17.83203125" style="63" customWidth="1"/>
    <col min="6406" max="6406" width="19.1640625" style="63" customWidth="1"/>
    <col min="6407" max="6407" width="14.5" style="63" customWidth="1"/>
    <col min="6408" max="6408" width="13.6640625" style="63" customWidth="1"/>
    <col min="6409" max="6409" width="20.1640625" style="63" customWidth="1"/>
    <col min="6410" max="6410" width="8.6640625" style="63" customWidth="1"/>
    <col min="6411" max="6411" width="9.33203125" style="63" customWidth="1"/>
    <col min="6412" max="6414" width="8.1640625" style="63" customWidth="1"/>
    <col min="6415" max="6415" width="27.6640625" style="63" customWidth="1"/>
    <col min="6416" max="6427" width="8.1640625" style="63" customWidth="1"/>
    <col min="6428" max="6656" width="8.1640625" style="63"/>
    <col min="6657" max="6657" width="9.6640625" style="63" bestFit="1" customWidth="1"/>
    <col min="6658" max="6658" width="3.1640625" style="63" customWidth="1"/>
    <col min="6659" max="6659" width="51.1640625" style="63" customWidth="1"/>
    <col min="6660" max="6660" width="12.6640625" style="63" customWidth="1"/>
    <col min="6661" max="6661" width="17.83203125" style="63" customWidth="1"/>
    <col min="6662" max="6662" width="19.1640625" style="63" customWidth="1"/>
    <col min="6663" max="6663" width="14.5" style="63" customWidth="1"/>
    <col min="6664" max="6664" width="13.6640625" style="63" customWidth="1"/>
    <col min="6665" max="6665" width="20.1640625" style="63" customWidth="1"/>
    <col min="6666" max="6666" width="8.6640625" style="63" customWidth="1"/>
    <col min="6667" max="6667" width="9.33203125" style="63" customWidth="1"/>
    <col min="6668" max="6670" width="8.1640625" style="63" customWidth="1"/>
    <col min="6671" max="6671" width="27.6640625" style="63" customWidth="1"/>
    <col min="6672" max="6683" width="8.1640625" style="63" customWidth="1"/>
    <col min="6684" max="6912" width="8.1640625" style="63"/>
    <col min="6913" max="6913" width="9.6640625" style="63" bestFit="1" customWidth="1"/>
    <col min="6914" max="6914" width="3.1640625" style="63" customWidth="1"/>
    <col min="6915" max="6915" width="51.1640625" style="63" customWidth="1"/>
    <col min="6916" max="6916" width="12.6640625" style="63" customWidth="1"/>
    <col min="6917" max="6917" width="17.83203125" style="63" customWidth="1"/>
    <col min="6918" max="6918" width="19.1640625" style="63" customWidth="1"/>
    <col min="6919" max="6919" width="14.5" style="63" customWidth="1"/>
    <col min="6920" max="6920" width="13.6640625" style="63" customWidth="1"/>
    <col min="6921" max="6921" width="20.1640625" style="63" customWidth="1"/>
    <col min="6922" max="6922" width="8.6640625" style="63" customWidth="1"/>
    <col min="6923" max="6923" width="9.33203125" style="63" customWidth="1"/>
    <col min="6924" max="6926" width="8.1640625" style="63" customWidth="1"/>
    <col min="6927" max="6927" width="27.6640625" style="63" customWidth="1"/>
    <col min="6928" max="6939" width="8.1640625" style="63" customWidth="1"/>
    <col min="6940" max="7168" width="8.1640625" style="63"/>
    <col min="7169" max="7169" width="9.6640625" style="63" bestFit="1" customWidth="1"/>
    <col min="7170" max="7170" width="3.1640625" style="63" customWidth="1"/>
    <col min="7171" max="7171" width="51.1640625" style="63" customWidth="1"/>
    <col min="7172" max="7172" width="12.6640625" style="63" customWidth="1"/>
    <col min="7173" max="7173" width="17.83203125" style="63" customWidth="1"/>
    <col min="7174" max="7174" width="19.1640625" style="63" customWidth="1"/>
    <col min="7175" max="7175" width="14.5" style="63" customWidth="1"/>
    <col min="7176" max="7176" width="13.6640625" style="63" customWidth="1"/>
    <col min="7177" max="7177" width="20.1640625" style="63" customWidth="1"/>
    <col min="7178" max="7178" width="8.6640625" style="63" customWidth="1"/>
    <col min="7179" max="7179" width="9.33203125" style="63" customWidth="1"/>
    <col min="7180" max="7182" width="8.1640625" style="63" customWidth="1"/>
    <col min="7183" max="7183" width="27.6640625" style="63" customWidth="1"/>
    <col min="7184" max="7195" width="8.1640625" style="63" customWidth="1"/>
    <col min="7196" max="7424" width="8.1640625" style="63"/>
    <col min="7425" max="7425" width="9.6640625" style="63" bestFit="1" customWidth="1"/>
    <col min="7426" max="7426" width="3.1640625" style="63" customWidth="1"/>
    <col min="7427" max="7427" width="51.1640625" style="63" customWidth="1"/>
    <col min="7428" max="7428" width="12.6640625" style="63" customWidth="1"/>
    <col min="7429" max="7429" width="17.83203125" style="63" customWidth="1"/>
    <col min="7430" max="7430" width="19.1640625" style="63" customWidth="1"/>
    <col min="7431" max="7431" width="14.5" style="63" customWidth="1"/>
    <col min="7432" max="7432" width="13.6640625" style="63" customWidth="1"/>
    <col min="7433" max="7433" width="20.1640625" style="63" customWidth="1"/>
    <col min="7434" max="7434" width="8.6640625" style="63" customWidth="1"/>
    <col min="7435" max="7435" width="9.33203125" style="63" customWidth="1"/>
    <col min="7436" max="7438" width="8.1640625" style="63" customWidth="1"/>
    <col min="7439" max="7439" width="27.6640625" style="63" customWidth="1"/>
    <col min="7440" max="7451" width="8.1640625" style="63" customWidth="1"/>
    <col min="7452" max="7680" width="8.1640625" style="63"/>
    <col min="7681" max="7681" width="9.6640625" style="63" bestFit="1" customWidth="1"/>
    <col min="7682" max="7682" width="3.1640625" style="63" customWidth="1"/>
    <col min="7683" max="7683" width="51.1640625" style="63" customWidth="1"/>
    <col min="7684" max="7684" width="12.6640625" style="63" customWidth="1"/>
    <col min="7685" max="7685" width="17.83203125" style="63" customWidth="1"/>
    <col min="7686" max="7686" width="19.1640625" style="63" customWidth="1"/>
    <col min="7687" max="7687" width="14.5" style="63" customWidth="1"/>
    <col min="7688" max="7688" width="13.6640625" style="63" customWidth="1"/>
    <col min="7689" max="7689" width="20.1640625" style="63" customWidth="1"/>
    <col min="7690" max="7690" width="8.6640625" style="63" customWidth="1"/>
    <col min="7691" max="7691" width="9.33203125" style="63" customWidth="1"/>
    <col min="7692" max="7694" width="8.1640625" style="63" customWidth="1"/>
    <col min="7695" max="7695" width="27.6640625" style="63" customWidth="1"/>
    <col min="7696" max="7707" width="8.1640625" style="63" customWidth="1"/>
    <col min="7708" max="7936" width="8.1640625" style="63"/>
    <col min="7937" max="7937" width="9.6640625" style="63" bestFit="1" customWidth="1"/>
    <col min="7938" max="7938" width="3.1640625" style="63" customWidth="1"/>
    <col min="7939" max="7939" width="51.1640625" style="63" customWidth="1"/>
    <col min="7940" max="7940" width="12.6640625" style="63" customWidth="1"/>
    <col min="7941" max="7941" width="17.83203125" style="63" customWidth="1"/>
    <col min="7942" max="7942" width="19.1640625" style="63" customWidth="1"/>
    <col min="7943" max="7943" width="14.5" style="63" customWidth="1"/>
    <col min="7944" max="7944" width="13.6640625" style="63" customWidth="1"/>
    <col min="7945" max="7945" width="20.1640625" style="63" customWidth="1"/>
    <col min="7946" max="7946" width="8.6640625" style="63" customWidth="1"/>
    <col min="7947" max="7947" width="9.33203125" style="63" customWidth="1"/>
    <col min="7948" max="7950" width="8.1640625" style="63" customWidth="1"/>
    <col min="7951" max="7951" width="27.6640625" style="63" customWidth="1"/>
    <col min="7952" max="7963" width="8.1640625" style="63" customWidth="1"/>
    <col min="7964" max="8192" width="8.1640625" style="63"/>
    <col min="8193" max="8193" width="9.6640625" style="63" bestFit="1" customWidth="1"/>
    <col min="8194" max="8194" width="3.1640625" style="63" customWidth="1"/>
    <col min="8195" max="8195" width="51.1640625" style="63" customWidth="1"/>
    <col min="8196" max="8196" width="12.6640625" style="63" customWidth="1"/>
    <col min="8197" max="8197" width="17.83203125" style="63" customWidth="1"/>
    <col min="8198" max="8198" width="19.1640625" style="63" customWidth="1"/>
    <col min="8199" max="8199" width="14.5" style="63" customWidth="1"/>
    <col min="8200" max="8200" width="13.6640625" style="63" customWidth="1"/>
    <col min="8201" max="8201" width="20.1640625" style="63" customWidth="1"/>
    <col min="8202" max="8202" width="8.6640625" style="63" customWidth="1"/>
    <col min="8203" max="8203" width="9.33203125" style="63" customWidth="1"/>
    <col min="8204" max="8206" width="8.1640625" style="63" customWidth="1"/>
    <col min="8207" max="8207" width="27.6640625" style="63" customWidth="1"/>
    <col min="8208" max="8219" width="8.1640625" style="63" customWidth="1"/>
    <col min="8220" max="8448" width="8.1640625" style="63"/>
    <col min="8449" max="8449" width="9.6640625" style="63" bestFit="1" customWidth="1"/>
    <col min="8450" max="8450" width="3.1640625" style="63" customWidth="1"/>
    <col min="8451" max="8451" width="51.1640625" style="63" customWidth="1"/>
    <col min="8452" max="8452" width="12.6640625" style="63" customWidth="1"/>
    <col min="8453" max="8453" width="17.83203125" style="63" customWidth="1"/>
    <col min="8454" max="8454" width="19.1640625" style="63" customWidth="1"/>
    <col min="8455" max="8455" width="14.5" style="63" customWidth="1"/>
    <col min="8456" max="8456" width="13.6640625" style="63" customWidth="1"/>
    <col min="8457" max="8457" width="20.1640625" style="63" customWidth="1"/>
    <col min="8458" max="8458" width="8.6640625" style="63" customWidth="1"/>
    <col min="8459" max="8459" width="9.33203125" style="63" customWidth="1"/>
    <col min="8460" max="8462" width="8.1640625" style="63" customWidth="1"/>
    <col min="8463" max="8463" width="27.6640625" style="63" customWidth="1"/>
    <col min="8464" max="8475" width="8.1640625" style="63" customWidth="1"/>
    <col min="8476" max="8704" width="8.1640625" style="63"/>
    <col min="8705" max="8705" width="9.6640625" style="63" bestFit="1" customWidth="1"/>
    <col min="8706" max="8706" width="3.1640625" style="63" customWidth="1"/>
    <col min="8707" max="8707" width="51.1640625" style="63" customWidth="1"/>
    <col min="8708" max="8708" width="12.6640625" style="63" customWidth="1"/>
    <col min="8709" max="8709" width="17.83203125" style="63" customWidth="1"/>
    <col min="8710" max="8710" width="19.1640625" style="63" customWidth="1"/>
    <col min="8711" max="8711" width="14.5" style="63" customWidth="1"/>
    <col min="8712" max="8712" width="13.6640625" style="63" customWidth="1"/>
    <col min="8713" max="8713" width="20.1640625" style="63" customWidth="1"/>
    <col min="8714" max="8714" width="8.6640625" style="63" customWidth="1"/>
    <col min="8715" max="8715" width="9.33203125" style="63" customWidth="1"/>
    <col min="8716" max="8718" width="8.1640625" style="63" customWidth="1"/>
    <col min="8719" max="8719" width="27.6640625" style="63" customWidth="1"/>
    <col min="8720" max="8731" width="8.1640625" style="63" customWidth="1"/>
    <col min="8732" max="8960" width="8.1640625" style="63"/>
    <col min="8961" max="8961" width="9.6640625" style="63" bestFit="1" customWidth="1"/>
    <col min="8962" max="8962" width="3.1640625" style="63" customWidth="1"/>
    <col min="8963" max="8963" width="51.1640625" style="63" customWidth="1"/>
    <col min="8964" max="8964" width="12.6640625" style="63" customWidth="1"/>
    <col min="8965" max="8965" width="17.83203125" style="63" customWidth="1"/>
    <col min="8966" max="8966" width="19.1640625" style="63" customWidth="1"/>
    <col min="8967" max="8967" width="14.5" style="63" customWidth="1"/>
    <col min="8968" max="8968" width="13.6640625" style="63" customWidth="1"/>
    <col min="8969" max="8969" width="20.1640625" style="63" customWidth="1"/>
    <col min="8970" max="8970" width="8.6640625" style="63" customWidth="1"/>
    <col min="8971" max="8971" width="9.33203125" style="63" customWidth="1"/>
    <col min="8972" max="8974" width="8.1640625" style="63" customWidth="1"/>
    <col min="8975" max="8975" width="27.6640625" style="63" customWidth="1"/>
    <col min="8976" max="8987" width="8.1640625" style="63" customWidth="1"/>
    <col min="8988" max="9216" width="8.1640625" style="63"/>
    <col min="9217" max="9217" width="9.6640625" style="63" bestFit="1" customWidth="1"/>
    <col min="9218" max="9218" width="3.1640625" style="63" customWidth="1"/>
    <col min="9219" max="9219" width="51.1640625" style="63" customWidth="1"/>
    <col min="9220" max="9220" width="12.6640625" style="63" customWidth="1"/>
    <col min="9221" max="9221" width="17.83203125" style="63" customWidth="1"/>
    <col min="9222" max="9222" width="19.1640625" style="63" customWidth="1"/>
    <col min="9223" max="9223" width="14.5" style="63" customWidth="1"/>
    <col min="9224" max="9224" width="13.6640625" style="63" customWidth="1"/>
    <col min="9225" max="9225" width="20.1640625" style="63" customWidth="1"/>
    <col min="9226" max="9226" width="8.6640625" style="63" customWidth="1"/>
    <col min="9227" max="9227" width="9.33203125" style="63" customWidth="1"/>
    <col min="9228" max="9230" width="8.1640625" style="63" customWidth="1"/>
    <col min="9231" max="9231" width="27.6640625" style="63" customWidth="1"/>
    <col min="9232" max="9243" width="8.1640625" style="63" customWidth="1"/>
    <col min="9244" max="9472" width="8.1640625" style="63"/>
    <col min="9473" max="9473" width="9.6640625" style="63" bestFit="1" customWidth="1"/>
    <col min="9474" max="9474" width="3.1640625" style="63" customWidth="1"/>
    <col min="9475" max="9475" width="51.1640625" style="63" customWidth="1"/>
    <col min="9476" max="9476" width="12.6640625" style="63" customWidth="1"/>
    <col min="9477" max="9477" width="17.83203125" style="63" customWidth="1"/>
    <col min="9478" max="9478" width="19.1640625" style="63" customWidth="1"/>
    <col min="9479" max="9479" width="14.5" style="63" customWidth="1"/>
    <col min="9480" max="9480" width="13.6640625" style="63" customWidth="1"/>
    <col min="9481" max="9481" width="20.1640625" style="63" customWidth="1"/>
    <col min="9482" max="9482" width="8.6640625" style="63" customWidth="1"/>
    <col min="9483" max="9483" width="9.33203125" style="63" customWidth="1"/>
    <col min="9484" max="9486" width="8.1640625" style="63" customWidth="1"/>
    <col min="9487" max="9487" width="27.6640625" style="63" customWidth="1"/>
    <col min="9488" max="9499" width="8.1640625" style="63" customWidth="1"/>
    <col min="9500" max="9728" width="8.1640625" style="63"/>
    <col min="9729" max="9729" width="9.6640625" style="63" bestFit="1" customWidth="1"/>
    <col min="9730" max="9730" width="3.1640625" style="63" customWidth="1"/>
    <col min="9731" max="9731" width="51.1640625" style="63" customWidth="1"/>
    <col min="9732" max="9732" width="12.6640625" style="63" customWidth="1"/>
    <col min="9733" max="9733" width="17.83203125" style="63" customWidth="1"/>
    <col min="9734" max="9734" width="19.1640625" style="63" customWidth="1"/>
    <col min="9735" max="9735" width="14.5" style="63" customWidth="1"/>
    <col min="9736" max="9736" width="13.6640625" style="63" customWidth="1"/>
    <col min="9737" max="9737" width="20.1640625" style="63" customWidth="1"/>
    <col min="9738" max="9738" width="8.6640625" style="63" customWidth="1"/>
    <col min="9739" max="9739" width="9.33203125" style="63" customWidth="1"/>
    <col min="9740" max="9742" width="8.1640625" style="63" customWidth="1"/>
    <col min="9743" max="9743" width="27.6640625" style="63" customWidth="1"/>
    <col min="9744" max="9755" width="8.1640625" style="63" customWidth="1"/>
    <col min="9756" max="9984" width="8.1640625" style="63"/>
    <col min="9985" max="9985" width="9.6640625" style="63" bestFit="1" customWidth="1"/>
    <col min="9986" max="9986" width="3.1640625" style="63" customWidth="1"/>
    <col min="9987" max="9987" width="51.1640625" style="63" customWidth="1"/>
    <col min="9988" max="9988" width="12.6640625" style="63" customWidth="1"/>
    <col min="9989" max="9989" width="17.83203125" style="63" customWidth="1"/>
    <col min="9990" max="9990" width="19.1640625" style="63" customWidth="1"/>
    <col min="9991" max="9991" width="14.5" style="63" customWidth="1"/>
    <col min="9992" max="9992" width="13.6640625" style="63" customWidth="1"/>
    <col min="9993" max="9993" width="20.1640625" style="63" customWidth="1"/>
    <col min="9994" max="9994" width="8.6640625" style="63" customWidth="1"/>
    <col min="9995" max="9995" width="9.33203125" style="63" customWidth="1"/>
    <col min="9996" max="9998" width="8.1640625" style="63" customWidth="1"/>
    <col min="9999" max="9999" width="27.6640625" style="63" customWidth="1"/>
    <col min="10000" max="10011" width="8.1640625" style="63" customWidth="1"/>
    <col min="10012" max="10240" width="8.1640625" style="63"/>
    <col min="10241" max="10241" width="9.6640625" style="63" bestFit="1" customWidth="1"/>
    <col min="10242" max="10242" width="3.1640625" style="63" customWidth="1"/>
    <col min="10243" max="10243" width="51.1640625" style="63" customWidth="1"/>
    <col min="10244" max="10244" width="12.6640625" style="63" customWidth="1"/>
    <col min="10245" max="10245" width="17.83203125" style="63" customWidth="1"/>
    <col min="10246" max="10246" width="19.1640625" style="63" customWidth="1"/>
    <col min="10247" max="10247" width="14.5" style="63" customWidth="1"/>
    <col min="10248" max="10248" width="13.6640625" style="63" customWidth="1"/>
    <col min="10249" max="10249" width="20.1640625" style="63" customWidth="1"/>
    <col min="10250" max="10250" width="8.6640625" style="63" customWidth="1"/>
    <col min="10251" max="10251" width="9.33203125" style="63" customWidth="1"/>
    <col min="10252" max="10254" width="8.1640625" style="63" customWidth="1"/>
    <col min="10255" max="10255" width="27.6640625" style="63" customWidth="1"/>
    <col min="10256" max="10267" width="8.1640625" style="63" customWidth="1"/>
    <col min="10268" max="10496" width="8.1640625" style="63"/>
    <col min="10497" max="10497" width="9.6640625" style="63" bestFit="1" customWidth="1"/>
    <col min="10498" max="10498" width="3.1640625" style="63" customWidth="1"/>
    <col min="10499" max="10499" width="51.1640625" style="63" customWidth="1"/>
    <col min="10500" max="10500" width="12.6640625" style="63" customWidth="1"/>
    <col min="10501" max="10501" width="17.83203125" style="63" customWidth="1"/>
    <col min="10502" max="10502" width="19.1640625" style="63" customWidth="1"/>
    <col min="10503" max="10503" width="14.5" style="63" customWidth="1"/>
    <col min="10504" max="10504" width="13.6640625" style="63" customWidth="1"/>
    <col min="10505" max="10505" width="20.1640625" style="63" customWidth="1"/>
    <col min="10506" max="10506" width="8.6640625" style="63" customWidth="1"/>
    <col min="10507" max="10507" width="9.33203125" style="63" customWidth="1"/>
    <col min="10508" max="10510" width="8.1640625" style="63" customWidth="1"/>
    <col min="10511" max="10511" width="27.6640625" style="63" customWidth="1"/>
    <col min="10512" max="10523" width="8.1640625" style="63" customWidth="1"/>
    <col min="10524" max="10752" width="8.1640625" style="63"/>
    <col min="10753" max="10753" width="9.6640625" style="63" bestFit="1" customWidth="1"/>
    <col min="10754" max="10754" width="3.1640625" style="63" customWidth="1"/>
    <col min="10755" max="10755" width="51.1640625" style="63" customWidth="1"/>
    <col min="10756" max="10756" width="12.6640625" style="63" customWidth="1"/>
    <col min="10757" max="10757" width="17.83203125" style="63" customWidth="1"/>
    <col min="10758" max="10758" width="19.1640625" style="63" customWidth="1"/>
    <col min="10759" max="10759" width="14.5" style="63" customWidth="1"/>
    <col min="10760" max="10760" width="13.6640625" style="63" customWidth="1"/>
    <col min="10761" max="10761" width="20.1640625" style="63" customWidth="1"/>
    <col min="10762" max="10762" width="8.6640625" style="63" customWidth="1"/>
    <col min="10763" max="10763" width="9.33203125" style="63" customWidth="1"/>
    <col min="10764" max="10766" width="8.1640625" style="63" customWidth="1"/>
    <col min="10767" max="10767" width="27.6640625" style="63" customWidth="1"/>
    <col min="10768" max="10779" width="8.1640625" style="63" customWidth="1"/>
    <col min="10780" max="11008" width="8.1640625" style="63"/>
    <col min="11009" max="11009" width="9.6640625" style="63" bestFit="1" customWidth="1"/>
    <col min="11010" max="11010" width="3.1640625" style="63" customWidth="1"/>
    <col min="11011" max="11011" width="51.1640625" style="63" customWidth="1"/>
    <col min="11012" max="11012" width="12.6640625" style="63" customWidth="1"/>
    <col min="11013" max="11013" width="17.83203125" style="63" customWidth="1"/>
    <col min="11014" max="11014" width="19.1640625" style="63" customWidth="1"/>
    <col min="11015" max="11015" width="14.5" style="63" customWidth="1"/>
    <col min="11016" max="11016" width="13.6640625" style="63" customWidth="1"/>
    <col min="11017" max="11017" width="20.1640625" style="63" customWidth="1"/>
    <col min="11018" max="11018" width="8.6640625" style="63" customWidth="1"/>
    <col min="11019" max="11019" width="9.33203125" style="63" customWidth="1"/>
    <col min="11020" max="11022" width="8.1640625" style="63" customWidth="1"/>
    <col min="11023" max="11023" width="27.6640625" style="63" customWidth="1"/>
    <col min="11024" max="11035" width="8.1640625" style="63" customWidth="1"/>
    <col min="11036" max="11264" width="8.1640625" style="63"/>
    <col min="11265" max="11265" width="9.6640625" style="63" bestFit="1" customWidth="1"/>
    <col min="11266" max="11266" width="3.1640625" style="63" customWidth="1"/>
    <col min="11267" max="11267" width="51.1640625" style="63" customWidth="1"/>
    <col min="11268" max="11268" width="12.6640625" style="63" customWidth="1"/>
    <col min="11269" max="11269" width="17.83203125" style="63" customWidth="1"/>
    <col min="11270" max="11270" width="19.1640625" style="63" customWidth="1"/>
    <col min="11271" max="11271" width="14.5" style="63" customWidth="1"/>
    <col min="11272" max="11272" width="13.6640625" style="63" customWidth="1"/>
    <col min="11273" max="11273" width="20.1640625" style="63" customWidth="1"/>
    <col min="11274" max="11274" width="8.6640625" style="63" customWidth="1"/>
    <col min="11275" max="11275" width="9.33203125" style="63" customWidth="1"/>
    <col min="11276" max="11278" width="8.1640625" style="63" customWidth="1"/>
    <col min="11279" max="11279" width="27.6640625" style="63" customWidth="1"/>
    <col min="11280" max="11291" width="8.1640625" style="63" customWidth="1"/>
    <col min="11292" max="11520" width="8.1640625" style="63"/>
    <col min="11521" max="11521" width="9.6640625" style="63" bestFit="1" customWidth="1"/>
    <col min="11522" max="11522" width="3.1640625" style="63" customWidth="1"/>
    <col min="11523" max="11523" width="51.1640625" style="63" customWidth="1"/>
    <col min="11524" max="11524" width="12.6640625" style="63" customWidth="1"/>
    <col min="11525" max="11525" width="17.83203125" style="63" customWidth="1"/>
    <col min="11526" max="11526" width="19.1640625" style="63" customWidth="1"/>
    <col min="11527" max="11527" width="14.5" style="63" customWidth="1"/>
    <col min="11528" max="11528" width="13.6640625" style="63" customWidth="1"/>
    <col min="11529" max="11529" width="20.1640625" style="63" customWidth="1"/>
    <col min="11530" max="11530" width="8.6640625" style="63" customWidth="1"/>
    <col min="11531" max="11531" width="9.33203125" style="63" customWidth="1"/>
    <col min="11532" max="11534" width="8.1640625" style="63" customWidth="1"/>
    <col min="11535" max="11535" width="27.6640625" style="63" customWidth="1"/>
    <col min="11536" max="11547" width="8.1640625" style="63" customWidth="1"/>
    <col min="11548" max="11776" width="8.1640625" style="63"/>
    <col min="11777" max="11777" width="9.6640625" style="63" bestFit="1" customWidth="1"/>
    <col min="11778" max="11778" width="3.1640625" style="63" customWidth="1"/>
    <col min="11779" max="11779" width="51.1640625" style="63" customWidth="1"/>
    <col min="11780" max="11780" width="12.6640625" style="63" customWidth="1"/>
    <col min="11781" max="11781" width="17.83203125" style="63" customWidth="1"/>
    <col min="11782" max="11782" width="19.1640625" style="63" customWidth="1"/>
    <col min="11783" max="11783" width="14.5" style="63" customWidth="1"/>
    <col min="11784" max="11784" width="13.6640625" style="63" customWidth="1"/>
    <col min="11785" max="11785" width="20.1640625" style="63" customWidth="1"/>
    <col min="11786" max="11786" width="8.6640625" style="63" customWidth="1"/>
    <col min="11787" max="11787" width="9.33203125" style="63" customWidth="1"/>
    <col min="11788" max="11790" width="8.1640625" style="63" customWidth="1"/>
    <col min="11791" max="11791" width="27.6640625" style="63" customWidth="1"/>
    <col min="11792" max="11803" width="8.1640625" style="63" customWidth="1"/>
    <col min="11804" max="12032" width="8.1640625" style="63"/>
    <col min="12033" max="12033" width="9.6640625" style="63" bestFit="1" customWidth="1"/>
    <col min="12034" max="12034" width="3.1640625" style="63" customWidth="1"/>
    <col min="12035" max="12035" width="51.1640625" style="63" customWidth="1"/>
    <col min="12036" max="12036" width="12.6640625" style="63" customWidth="1"/>
    <col min="12037" max="12037" width="17.83203125" style="63" customWidth="1"/>
    <col min="12038" max="12038" width="19.1640625" style="63" customWidth="1"/>
    <col min="12039" max="12039" width="14.5" style="63" customWidth="1"/>
    <col min="12040" max="12040" width="13.6640625" style="63" customWidth="1"/>
    <col min="12041" max="12041" width="20.1640625" style="63" customWidth="1"/>
    <col min="12042" max="12042" width="8.6640625" style="63" customWidth="1"/>
    <col min="12043" max="12043" width="9.33203125" style="63" customWidth="1"/>
    <col min="12044" max="12046" width="8.1640625" style="63" customWidth="1"/>
    <col min="12047" max="12047" width="27.6640625" style="63" customWidth="1"/>
    <col min="12048" max="12059" width="8.1640625" style="63" customWidth="1"/>
    <col min="12060" max="12288" width="8.1640625" style="63"/>
    <col min="12289" max="12289" width="9.6640625" style="63" bestFit="1" customWidth="1"/>
    <col min="12290" max="12290" width="3.1640625" style="63" customWidth="1"/>
    <col min="12291" max="12291" width="51.1640625" style="63" customWidth="1"/>
    <col min="12292" max="12292" width="12.6640625" style="63" customWidth="1"/>
    <col min="12293" max="12293" width="17.83203125" style="63" customWidth="1"/>
    <col min="12294" max="12294" width="19.1640625" style="63" customWidth="1"/>
    <col min="12295" max="12295" width="14.5" style="63" customWidth="1"/>
    <col min="12296" max="12296" width="13.6640625" style="63" customWidth="1"/>
    <col min="12297" max="12297" width="20.1640625" style="63" customWidth="1"/>
    <col min="12298" max="12298" width="8.6640625" style="63" customWidth="1"/>
    <col min="12299" max="12299" width="9.33203125" style="63" customWidth="1"/>
    <col min="12300" max="12302" width="8.1640625" style="63" customWidth="1"/>
    <col min="12303" max="12303" width="27.6640625" style="63" customWidth="1"/>
    <col min="12304" max="12315" width="8.1640625" style="63" customWidth="1"/>
    <col min="12316" max="12544" width="8.1640625" style="63"/>
    <col min="12545" max="12545" width="9.6640625" style="63" bestFit="1" customWidth="1"/>
    <col min="12546" max="12546" width="3.1640625" style="63" customWidth="1"/>
    <col min="12547" max="12547" width="51.1640625" style="63" customWidth="1"/>
    <col min="12548" max="12548" width="12.6640625" style="63" customWidth="1"/>
    <col min="12549" max="12549" width="17.83203125" style="63" customWidth="1"/>
    <col min="12550" max="12550" width="19.1640625" style="63" customWidth="1"/>
    <col min="12551" max="12551" width="14.5" style="63" customWidth="1"/>
    <col min="12552" max="12552" width="13.6640625" style="63" customWidth="1"/>
    <col min="12553" max="12553" width="20.1640625" style="63" customWidth="1"/>
    <col min="12554" max="12554" width="8.6640625" style="63" customWidth="1"/>
    <col min="12555" max="12555" width="9.33203125" style="63" customWidth="1"/>
    <col min="12556" max="12558" width="8.1640625" style="63" customWidth="1"/>
    <col min="12559" max="12559" width="27.6640625" style="63" customWidth="1"/>
    <col min="12560" max="12571" width="8.1640625" style="63" customWidth="1"/>
    <col min="12572" max="12800" width="8.1640625" style="63"/>
    <col min="12801" max="12801" width="9.6640625" style="63" bestFit="1" customWidth="1"/>
    <col min="12802" max="12802" width="3.1640625" style="63" customWidth="1"/>
    <col min="12803" max="12803" width="51.1640625" style="63" customWidth="1"/>
    <col min="12804" max="12804" width="12.6640625" style="63" customWidth="1"/>
    <col min="12805" max="12805" width="17.83203125" style="63" customWidth="1"/>
    <col min="12806" max="12806" width="19.1640625" style="63" customWidth="1"/>
    <col min="12807" max="12807" width="14.5" style="63" customWidth="1"/>
    <col min="12808" max="12808" width="13.6640625" style="63" customWidth="1"/>
    <col min="12809" max="12809" width="20.1640625" style="63" customWidth="1"/>
    <col min="12810" max="12810" width="8.6640625" style="63" customWidth="1"/>
    <col min="12811" max="12811" width="9.33203125" style="63" customWidth="1"/>
    <col min="12812" max="12814" width="8.1640625" style="63" customWidth="1"/>
    <col min="12815" max="12815" width="27.6640625" style="63" customWidth="1"/>
    <col min="12816" max="12827" width="8.1640625" style="63" customWidth="1"/>
    <col min="12828" max="13056" width="8.1640625" style="63"/>
    <col min="13057" max="13057" width="9.6640625" style="63" bestFit="1" customWidth="1"/>
    <col min="13058" max="13058" width="3.1640625" style="63" customWidth="1"/>
    <col min="13059" max="13059" width="51.1640625" style="63" customWidth="1"/>
    <col min="13060" max="13060" width="12.6640625" style="63" customWidth="1"/>
    <col min="13061" max="13061" width="17.83203125" style="63" customWidth="1"/>
    <col min="13062" max="13062" width="19.1640625" style="63" customWidth="1"/>
    <col min="13063" max="13063" width="14.5" style="63" customWidth="1"/>
    <col min="13064" max="13064" width="13.6640625" style="63" customWidth="1"/>
    <col min="13065" max="13065" width="20.1640625" style="63" customWidth="1"/>
    <col min="13066" max="13066" width="8.6640625" style="63" customWidth="1"/>
    <col min="13067" max="13067" width="9.33203125" style="63" customWidth="1"/>
    <col min="13068" max="13070" width="8.1640625" style="63" customWidth="1"/>
    <col min="13071" max="13071" width="27.6640625" style="63" customWidth="1"/>
    <col min="13072" max="13083" width="8.1640625" style="63" customWidth="1"/>
    <col min="13084" max="13312" width="8.1640625" style="63"/>
    <col min="13313" max="13313" width="9.6640625" style="63" bestFit="1" customWidth="1"/>
    <col min="13314" max="13314" width="3.1640625" style="63" customWidth="1"/>
    <col min="13315" max="13315" width="51.1640625" style="63" customWidth="1"/>
    <col min="13316" max="13316" width="12.6640625" style="63" customWidth="1"/>
    <col min="13317" max="13317" width="17.83203125" style="63" customWidth="1"/>
    <col min="13318" max="13318" width="19.1640625" style="63" customWidth="1"/>
    <col min="13319" max="13319" width="14.5" style="63" customWidth="1"/>
    <col min="13320" max="13320" width="13.6640625" style="63" customWidth="1"/>
    <col min="13321" max="13321" width="20.1640625" style="63" customWidth="1"/>
    <col min="13322" max="13322" width="8.6640625" style="63" customWidth="1"/>
    <col min="13323" max="13323" width="9.33203125" style="63" customWidth="1"/>
    <col min="13324" max="13326" width="8.1640625" style="63" customWidth="1"/>
    <col min="13327" max="13327" width="27.6640625" style="63" customWidth="1"/>
    <col min="13328" max="13339" width="8.1640625" style="63" customWidth="1"/>
    <col min="13340" max="13568" width="8.1640625" style="63"/>
    <col min="13569" max="13569" width="9.6640625" style="63" bestFit="1" customWidth="1"/>
    <col min="13570" max="13570" width="3.1640625" style="63" customWidth="1"/>
    <col min="13571" max="13571" width="51.1640625" style="63" customWidth="1"/>
    <col min="13572" max="13572" width="12.6640625" style="63" customWidth="1"/>
    <col min="13573" max="13573" width="17.83203125" style="63" customWidth="1"/>
    <col min="13574" max="13574" width="19.1640625" style="63" customWidth="1"/>
    <col min="13575" max="13575" width="14.5" style="63" customWidth="1"/>
    <col min="13576" max="13576" width="13.6640625" style="63" customWidth="1"/>
    <col min="13577" max="13577" width="20.1640625" style="63" customWidth="1"/>
    <col min="13578" max="13578" width="8.6640625" style="63" customWidth="1"/>
    <col min="13579" max="13579" width="9.33203125" style="63" customWidth="1"/>
    <col min="13580" max="13582" width="8.1640625" style="63" customWidth="1"/>
    <col min="13583" max="13583" width="27.6640625" style="63" customWidth="1"/>
    <col min="13584" max="13595" width="8.1640625" style="63" customWidth="1"/>
    <col min="13596" max="13824" width="8.1640625" style="63"/>
    <col min="13825" max="13825" width="9.6640625" style="63" bestFit="1" customWidth="1"/>
    <col min="13826" max="13826" width="3.1640625" style="63" customWidth="1"/>
    <col min="13827" max="13827" width="51.1640625" style="63" customWidth="1"/>
    <col min="13828" max="13828" width="12.6640625" style="63" customWidth="1"/>
    <col min="13829" max="13829" width="17.83203125" style="63" customWidth="1"/>
    <col min="13830" max="13830" width="19.1640625" style="63" customWidth="1"/>
    <col min="13831" max="13831" width="14.5" style="63" customWidth="1"/>
    <col min="13832" max="13832" width="13.6640625" style="63" customWidth="1"/>
    <col min="13833" max="13833" width="20.1640625" style="63" customWidth="1"/>
    <col min="13834" max="13834" width="8.6640625" style="63" customWidth="1"/>
    <col min="13835" max="13835" width="9.33203125" style="63" customWidth="1"/>
    <col min="13836" max="13838" width="8.1640625" style="63" customWidth="1"/>
    <col min="13839" max="13839" width="27.6640625" style="63" customWidth="1"/>
    <col min="13840" max="13851" width="8.1640625" style="63" customWidth="1"/>
    <col min="13852" max="14080" width="8.1640625" style="63"/>
    <col min="14081" max="14081" width="9.6640625" style="63" bestFit="1" customWidth="1"/>
    <col min="14082" max="14082" width="3.1640625" style="63" customWidth="1"/>
    <col min="14083" max="14083" width="51.1640625" style="63" customWidth="1"/>
    <col min="14084" max="14084" width="12.6640625" style="63" customWidth="1"/>
    <col min="14085" max="14085" width="17.83203125" style="63" customWidth="1"/>
    <col min="14086" max="14086" width="19.1640625" style="63" customWidth="1"/>
    <col min="14087" max="14087" width="14.5" style="63" customWidth="1"/>
    <col min="14088" max="14088" width="13.6640625" style="63" customWidth="1"/>
    <col min="14089" max="14089" width="20.1640625" style="63" customWidth="1"/>
    <col min="14090" max="14090" width="8.6640625" style="63" customWidth="1"/>
    <col min="14091" max="14091" width="9.33203125" style="63" customWidth="1"/>
    <col min="14092" max="14094" width="8.1640625" style="63" customWidth="1"/>
    <col min="14095" max="14095" width="27.6640625" style="63" customWidth="1"/>
    <col min="14096" max="14107" width="8.1640625" style="63" customWidth="1"/>
    <col min="14108" max="14336" width="8.1640625" style="63"/>
    <col min="14337" max="14337" width="9.6640625" style="63" bestFit="1" customWidth="1"/>
    <col min="14338" max="14338" width="3.1640625" style="63" customWidth="1"/>
    <col min="14339" max="14339" width="51.1640625" style="63" customWidth="1"/>
    <col min="14340" max="14340" width="12.6640625" style="63" customWidth="1"/>
    <col min="14341" max="14341" width="17.83203125" style="63" customWidth="1"/>
    <col min="14342" max="14342" width="19.1640625" style="63" customWidth="1"/>
    <col min="14343" max="14343" width="14.5" style="63" customWidth="1"/>
    <col min="14344" max="14344" width="13.6640625" style="63" customWidth="1"/>
    <col min="14345" max="14345" width="20.1640625" style="63" customWidth="1"/>
    <col min="14346" max="14346" width="8.6640625" style="63" customWidth="1"/>
    <col min="14347" max="14347" width="9.33203125" style="63" customWidth="1"/>
    <col min="14348" max="14350" width="8.1640625" style="63" customWidth="1"/>
    <col min="14351" max="14351" width="27.6640625" style="63" customWidth="1"/>
    <col min="14352" max="14363" width="8.1640625" style="63" customWidth="1"/>
    <col min="14364" max="14592" width="8.1640625" style="63"/>
    <col min="14593" max="14593" width="9.6640625" style="63" bestFit="1" customWidth="1"/>
    <col min="14594" max="14594" width="3.1640625" style="63" customWidth="1"/>
    <col min="14595" max="14595" width="51.1640625" style="63" customWidth="1"/>
    <col min="14596" max="14596" width="12.6640625" style="63" customWidth="1"/>
    <col min="14597" max="14597" width="17.83203125" style="63" customWidth="1"/>
    <col min="14598" max="14598" width="19.1640625" style="63" customWidth="1"/>
    <col min="14599" max="14599" width="14.5" style="63" customWidth="1"/>
    <col min="14600" max="14600" width="13.6640625" style="63" customWidth="1"/>
    <col min="14601" max="14601" width="20.1640625" style="63" customWidth="1"/>
    <col min="14602" max="14602" width="8.6640625" style="63" customWidth="1"/>
    <col min="14603" max="14603" width="9.33203125" style="63" customWidth="1"/>
    <col min="14604" max="14606" width="8.1640625" style="63" customWidth="1"/>
    <col min="14607" max="14607" width="27.6640625" style="63" customWidth="1"/>
    <col min="14608" max="14619" width="8.1640625" style="63" customWidth="1"/>
    <col min="14620" max="14848" width="8.1640625" style="63"/>
    <col min="14849" max="14849" width="9.6640625" style="63" bestFit="1" customWidth="1"/>
    <col min="14850" max="14850" width="3.1640625" style="63" customWidth="1"/>
    <col min="14851" max="14851" width="51.1640625" style="63" customWidth="1"/>
    <col min="14852" max="14852" width="12.6640625" style="63" customWidth="1"/>
    <col min="14853" max="14853" width="17.83203125" style="63" customWidth="1"/>
    <col min="14854" max="14854" width="19.1640625" style="63" customWidth="1"/>
    <col min="14855" max="14855" width="14.5" style="63" customWidth="1"/>
    <col min="14856" max="14856" width="13.6640625" style="63" customWidth="1"/>
    <col min="14857" max="14857" width="20.1640625" style="63" customWidth="1"/>
    <col min="14858" max="14858" width="8.6640625" style="63" customWidth="1"/>
    <col min="14859" max="14859" width="9.33203125" style="63" customWidth="1"/>
    <col min="14860" max="14862" width="8.1640625" style="63" customWidth="1"/>
    <col min="14863" max="14863" width="27.6640625" style="63" customWidth="1"/>
    <col min="14864" max="14875" width="8.1640625" style="63" customWidth="1"/>
    <col min="14876" max="15104" width="8.1640625" style="63"/>
    <col min="15105" max="15105" width="9.6640625" style="63" bestFit="1" customWidth="1"/>
    <col min="15106" max="15106" width="3.1640625" style="63" customWidth="1"/>
    <col min="15107" max="15107" width="51.1640625" style="63" customWidth="1"/>
    <col min="15108" max="15108" width="12.6640625" style="63" customWidth="1"/>
    <col min="15109" max="15109" width="17.83203125" style="63" customWidth="1"/>
    <col min="15110" max="15110" width="19.1640625" style="63" customWidth="1"/>
    <col min="15111" max="15111" width="14.5" style="63" customWidth="1"/>
    <col min="15112" max="15112" width="13.6640625" style="63" customWidth="1"/>
    <col min="15113" max="15113" width="20.1640625" style="63" customWidth="1"/>
    <col min="15114" max="15114" width="8.6640625" style="63" customWidth="1"/>
    <col min="15115" max="15115" width="9.33203125" style="63" customWidth="1"/>
    <col min="15116" max="15118" width="8.1640625" style="63" customWidth="1"/>
    <col min="15119" max="15119" width="27.6640625" style="63" customWidth="1"/>
    <col min="15120" max="15131" width="8.1640625" style="63" customWidth="1"/>
    <col min="15132" max="15360" width="8.1640625" style="63"/>
    <col min="15361" max="15361" width="9.6640625" style="63" bestFit="1" customWidth="1"/>
    <col min="15362" max="15362" width="3.1640625" style="63" customWidth="1"/>
    <col min="15363" max="15363" width="51.1640625" style="63" customWidth="1"/>
    <col min="15364" max="15364" width="12.6640625" style="63" customWidth="1"/>
    <col min="15365" max="15365" width="17.83203125" style="63" customWidth="1"/>
    <col min="15366" max="15366" width="19.1640625" style="63" customWidth="1"/>
    <col min="15367" max="15367" width="14.5" style="63" customWidth="1"/>
    <col min="15368" max="15368" width="13.6640625" style="63" customWidth="1"/>
    <col min="15369" max="15369" width="20.1640625" style="63" customWidth="1"/>
    <col min="15370" max="15370" width="8.6640625" style="63" customWidth="1"/>
    <col min="15371" max="15371" width="9.33203125" style="63" customWidth="1"/>
    <col min="15372" max="15374" width="8.1640625" style="63" customWidth="1"/>
    <col min="15375" max="15375" width="27.6640625" style="63" customWidth="1"/>
    <col min="15376" max="15387" width="8.1640625" style="63" customWidth="1"/>
    <col min="15388" max="15616" width="8.1640625" style="63"/>
    <col min="15617" max="15617" width="9.6640625" style="63" bestFit="1" customWidth="1"/>
    <col min="15618" max="15618" width="3.1640625" style="63" customWidth="1"/>
    <col min="15619" max="15619" width="51.1640625" style="63" customWidth="1"/>
    <col min="15620" max="15620" width="12.6640625" style="63" customWidth="1"/>
    <col min="15621" max="15621" width="17.83203125" style="63" customWidth="1"/>
    <col min="15622" max="15622" width="19.1640625" style="63" customWidth="1"/>
    <col min="15623" max="15623" width="14.5" style="63" customWidth="1"/>
    <col min="15624" max="15624" width="13.6640625" style="63" customWidth="1"/>
    <col min="15625" max="15625" width="20.1640625" style="63" customWidth="1"/>
    <col min="15626" max="15626" width="8.6640625" style="63" customWidth="1"/>
    <col min="15627" max="15627" width="9.33203125" style="63" customWidth="1"/>
    <col min="15628" max="15630" width="8.1640625" style="63" customWidth="1"/>
    <col min="15631" max="15631" width="27.6640625" style="63" customWidth="1"/>
    <col min="15632" max="15643" width="8.1640625" style="63" customWidth="1"/>
    <col min="15644" max="15872" width="8.1640625" style="63"/>
    <col min="15873" max="15873" width="9.6640625" style="63" bestFit="1" customWidth="1"/>
    <col min="15874" max="15874" width="3.1640625" style="63" customWidth="1"/>
    <col min="15875" max="15875" width="51.1640625" style="63" customWidth="1"/>
    <col min="15876" max="15876" width="12.6640625" style="63" customWidth="1"/>
    <col min="15877" max="15877" width="17.83203125" style="63" customWidth="1"/>
    <col min="15878" max="15878" width="19.1640625" style="63" customWidth="1"/>
    <col min="15879" max="15879" width="14.5" style="63" customWidth="1"/>
    <col min="15880" max="15880" width="13.6640625" style="63" customWidth="1"/>
    <col min="15881" max="15881" width="20.1640625" style="63" customWidth="1"/>
    <col min="15882" max="15882" width="8.6640625" style="63" customWidth="1"/>
    <col min="15883" max="15883" width="9.33203125" style="63" customWidth="1"/>
    <col min="15884" max="15886" width="8.1640625" style="63" customWidth="1"/>
    <col min="15887" max="15887" width="27.6640625" style="63" customWidth="1"/>
    <col min="15888" max="15899" width="8.1640625" style="63" customWidth="1"/>
    <col min="15900" max="16128" width="8.1640625" style="63"/>
    <col min="16129" max="16129" width="9.6640625" style="63" bestFit="1" customWidth="1"/>
    <col min="16130" max="16130" width="3.1640625" style="63" customWidth="1"/>
    <col min="16131" max="16131" width="51.1640625" style="63" customWidth="1"/>
    <col min="16132" max="16132" width="12.6640625" style="63" customWidth="1"/>
    <col min="16133" max="16133" width="17.83203125" style="63" customWidth="1"/>
    <col min="16134" max="16134" width="19.1640625" style="63" customWidth="1"/>
    <col min="16135" max="16135" width="14.5" style="63" customWidth="1"/>
    <col min="16136" max="16136" width="13.6640625" style="63" customWidth="1"/>
    <col min="16137" max="16137" width="20.1640625" style="63" customWidth="1"/>
    <col min="16138" max="16138" width="8.6640625" style="63" customWidth="1"/>
    <col min="16139" max="16139" width="9.33203125" style="63" customWidth="1"/>
    <col min="16140" max="16142" width="8.1640625" style="63" customWidth="1"/>
    <col min="16143" max="16143" width="27.6640625" style="63" customWidth="1"/>
    <col min="16144" max="16155" width="8.1640625" style="63" customWidth="1"/>
    <col min="16156" max="16384" width="8.1640625" style="63"/>
  </cols>
  <sheetData>
    <row r="3" spans="2:38" ht="88" thickBot="1">
      <c r="N3" s="64" t="s">
        <v>92</v>
      </c>
      <c r="O3" s="64" t="s">
        <v>93</v>
      </c>
      <c r="P3" s="64" t="s">
        <v>94</v>
      </c>
      <c r="Q3" s="64" t="s">
        <v>95</v>
      </c>
      <c r="R3" s="65" t="s">
        <v>156</v>
      </c>
      <c r="S3" s="65" t="s">
        <v>157</v>
      </c>
      <c r="T3" s="65" t="s">
        <v>158</v>
      </c>
      <c r="U3" s="65" t="s">
        <v>159</v>
      </c>
      <c r="V3" s="65" t="s">
        <v>142</v>
      </c>
      <c r="W3" s="65" t="s">
        <v>96</v>
      </c>
      <c r="X3" s="65" t="s">
        <v>160</v>
      </c>
      <c r="Y3" s="65" t="s">
        <v>143</v>
      </c>
      <c r="Z3" s="65" t="s">
        <v>144</v>
      </c>
      <c r="AA3" s="64" t="s">
        <v>97</v>
      </c>
    </row>
    <row r="4" spans="2:38" s="68" customFormat="1" ht="54.75" customHeight="1" thickBot="1">
      <c r="B4" s="110"/>
      <c r="C4" s="36" t="s">
        <v>98</v>
      </c>
      <c r="D4" s="37"/>
      <c r="E4" s="38" t="s">
        <v>99</v>
      </c>
      <c r="F4" s="108" t="s">
        <v>100</v>
      </c>
      <c r="G4" s="66"/>
      <c r="H4" s="66"/>
      <c r="I4" s="67"/>
      <c r="J4" s="71"/>
      <c r="K4" s="39"/>
      <c r="L4" s="39"/>
      <c r="M4" s="39"/>
      <c r="N4" s="39"/>
      <c r="O4" s="39"/>
      <c r="P4" s="39"/>
      <c r="Q4" s="39"/>
      <c r="R4" s="40">
        <f>16.02</f>
        <v>16.02</v>
      </c>
      <c r="S4" s="40">
        <v>4.1870000000000003</v>
      </c>
      <c r="T4" s="40">
        <v>2.3260000000000001</v>
      </c>
      <c r="U4" s="40">
        <f>S4</f>
        <v>4.1870000000000003</v>
      </c>
      <c r="V4" s="40" t="s">
        <v>101</v>
      </c>
      <c r="W4" s="40" t="s">
        <v>101</v>
      </c>
      <c r="X4" s="40">
        <v>2.3260000000000001</v>
      </c>
      <c r="Y4" s="40">
        <f>X4</f>
        <v>2.3260000000000001</v>
      </c>
      <c r="Z4" s="40">
        <f>Y4</f>
        <v>2.3260000000000001</v>
      </c>
      <c r="AA4" s="39"/>
    </row>
    <row r="5" spans="2:38" s="74" customFormat="1" ht="19" thickBot="1">
      <c r="B5" s="110"/>
      <c r="C5" s="1111" t="s">
        <v>161</v>
      </c>
      <c r="D5" s="1112"/>
      <c r="E5" s="111"/>
      <c r="F5" s="112"/>
      <c r="G5" s="69"/>
      <c r="H5" s="69"/>
      <c r="I5" s="70"/>
      <c r="J5" s="71"/>
      <c r="K5" s="41"/>
      <c r="L5" s="41"/>
      <c r="M5" s="41"/>
      <c r="N5" s="72">
        <v>55</v>
      </c>
      <c r="O5" s="72" t="s">
        <v>162</v>
      </c>
      <c r="P5" s="72" t="s">
        <v>161</v>
      </c>
      <c r="Q5" s="72"/>
      <c r="R5" s="72">
        <f>AC5/$R$4</f>
        <v>0</v>
      </c>
      <c r="S5" s="72">
        <f>AD5/$S$4</f>
        <v>0.47002627179364698</v>
      </c>
      <c r="T5" s="72">
        <v>0</v>
      </c>
      <c r="U5" s="72">
        <v>0</v>
      </c>
      <c r="V5" s="72">
        <f>AG5*1.8+32</f>
        <v>-4.0000000000048885E-3</v>
      </c>
      <c r="W5" s="72">
        <f>AH5*1.8+32</f>
        <v>-4.0000000000048885E-3</v>
      </c>
      <c r="X5" s="72">
        <v>0</v>
      </c>
      <c r="Y5" s="72">
        <v>0</v>
      </c>
      <c r="Z5" s="72">
        <v>0</v>
      </c>
      <c r="AA5" s="72" t="b">
        <v>0</v>
      </c>
      <c r="AC5" s="73">
        <v>0</v>
      </c>
      <c r="AD5" s="73">
        <v>1.968</v>
      </c>
      <c r="AE5" s="73">
        <v>0</v>
      </c>
      <c r="AF5" s="73">
        <v>0</v>
      </c>
      <c r="AG5" s="73">
        <v>-17.78</v>
      </c>
      <c r="AH5" s="73">
        <v>-17.78</v>
      </c>
      <c r="AI5" s="73">
        <v>0</v>
      </c>
      <c r="AJ5" s="73">
        <v>0</v>
      </c>
      <c r="AK5" s="73">
        <v>0</v>
      </c>
      <c r="AL5" s="113"/>
    </row>
    <row r="6" spans="2:38" s="117" customFormat="1" ht="42" customHeight="1">
      <c r="B6" s="110"/>
      <c r="C6" s="1113" t="s">
        <v>163</v>
      </c>
      <c r="D6" s="1114"/>
      <c r="E6" s="42" t="s">
        <v>164</v>
      </c>
      <c r="F6" s="114" t="str">
        <f>E6</f>
        <v>Carbon monoxide - low pressure</v>
      </c>
      <c r="G6" s="115"/>
      <c r="H6" s="115"/>
      <c r="I6" s="76" t="s">
        <v>104</v>
      </c>
      <c r="J6" s="71"/>
      <c r="K6" s="116"/>
      <c r="L6" s="116"/>
      <c r="M6" s="116"/>
      <c r="N6" s="72">
        <v>56</v>
      </c>
      <c r="O6" s="72" t="s">
        <v>165</v>
      </c>
      <c r="P6" s="72" t="s">
        <v>161</v>
      </c>
      <c r="Q6" s="72"/>
      <c r="R6" s="72">
        <v>0</v>
      </c>
      <c r="S6" s="72">
        <f t="shared" ref="S6:S13" si="0">AD6/$S$4</f>
        <v>0.49008836876044898</v>
      </c>
      <c r="T6" s="72">
        <v>0</v>
      </c>
      <c r="U6" s="72">
        <v>0</v>
      </c>
      <c r="V6" s="72">
        <f t="shared" ref="V6:W14" si="1">AG6*1.8+32</f>
        <v>-4.0000000000048885E-3</v>
      </c>
      <c r="W6" s="72">
        <f t="shared" si="1"/>
        <v>-4.0000000000048885E-3</v>
      </c>
      <c r="X6" s="72">
        <v>0</v>
      </c>
      <c r="Y6" s="72">
        <v>0</v>
      </c>
      <c r="Z6" s="72">
        <v>0</v>
      </c>
      <c r="AA6" s="72" t="b">
        <v>0</v>
      </c>
      <c r="AC6" s="73">
        <v>0</v>
      </c>
      <c r="AD6" s="73">
        <v>2.052</v>
      </c>
      <c r="AE6" s="73">
        <v>0</v>
      </c>
      <c r="AF6" s="73">
        <v>0</v>
      </c>
      <c r="AG6" s="73">
        <v>-17.78</v>
      </c>
      <c r="AH6" s="73">
        <v>-17.78</v>
      </c>
      <c r="AI6" s="73">
        <v>0</v>
      </c>
      <c r="AJ6" s="73">
        <v>0</v>
      </c>
      <c r="AK6" s="73">
        <v>0</v>
      </c>
      <c r="AL6" s="118"/>
    </row>
    <row r="7" spans="2:38" ht="27" customHeight="1">
      <c r="B7" s="110"/>
      <c r="C7" s="1115"/>
      <c r="D7" s="1116"/>
      <c r="E7" s="78" t="str">
        <f>IF(E6="Other",K7,"")</f>
        <v/>
      </c>
      <c r="F7" s="78"/>
      <c r="G7" s="75"/>
      <c r="H7" s="75"/>
      <c r="I7" s="79" t="s">
        <v>105</v>
      </c>
      <c r="J7" s="71"/>
      <c r="K7" s="35" t="s">
        <v>146</v>
      </c>
      <c r="N7" s="72">
        <v>57</v>
      </c>
      <c r="O7" s="72" t="s">
        <v>166</v>
      </c>
      <c r="P7" s="72" t="s">
        <v>161</v>
      </c>
      <c r="Q7" s="72"/>
      <c r="R7" s="72">
        <v>0</v>
      </c>
      <c r="S7" s="72">
        <f t="shared" si="0"/>
        <v>0.50991163123955086</v>
      </c>
      <c r="T7" s="72">
        <v>0</v>
      </c>
      <c r="U7" s="72">
        <v>0</v>
      </c>
      <c r="V7" s="72">
        <f t="shared" si="1"/>
        <v>-4.0000000000048885E-3</v>
      </c>
      <c r="W7" s="72">
        <f t="shared" si="1"/>
        <v>-4.0000000000048885E-3</v>
      </c>
      <c r="X7" s="72">
        <v>0</v>
      </c>
      <c r="Y7" s="72">
        <v>0</v>
      </c>
      <c r="Z7" s="72">
        <v>0</v>
      </c>
      <c r="AA7" s="72" t="b">
        <v>0</v>
      </c>
      <c r="AC7" s="73">
        <v>0</v>
      </c>
      <c r="AD7" s="73">
        <v>2.1349999999999998</v>
      </c>
      <c r="AE7" s="73">
        <v>0</v>
      </c>
      <c r="AF7" s="73">
        <v>0</v>
      </c>
      <c r="AG7" s="73">
        <v>-17.78</v>
      </c>
      <c r="AH7" s="73">
        <v>-17.78</v>
      </c>
      <c r="AI7" s="73">
        <v>0</v>
      </c>
      <c r="AJ7" s="73">
        <v>0</v>
      </c>
      <c r="AK7" s="73">
        <v>0</v>
      </c>
      <c r="AL7" s="88"/>
    </row>
    <row r="8" spans="2:38" ht="20" customHeight="1">
      <c r="B8" s="110"/>
      <c r="C8" s="107" t="s">
        <v>167</v>
      </c>
      <c r="D8" s="94" t="s">
        <v>107</v>
      </c>
      <c r="E8" s="119">
        <f>IF(E6="Other",K8,VLOOKUP(E6,$O$5:$AA$44,5,))</f>
        <v>0.25005970862192495</v>
      </c>
      <c r="F8" s="119">
        <f>E8</f>
        <v>0.25005970862192495</v>
      </c>
      <c r="G8" s="80"/>
      <c r="H8" s="120"/>
      <c r="I8" s="76" t="s">
        <v>108</v>
      </c>
      <c r="J8" s="71"/>
      <c r="K8" s="35">
        <v>0</v>
      </c>
      <c r="N8" s="72">
        <v>58</v>
      </c>
      <c r="O8" s="72" t="s">
        <v>168</v>
      </c>
      <c r="P8" s="72" t="s">
        <v>161</v>
      </c>
      <c r="Q8" s="72"/>
      <c r="R8" s="72">
        <v>0</v>
      </c>
      <c r="S8" s="72">
        <f t="shared" si="0"/>
        <v>0.58992118461905896</v>
      </c>
      <c r="T8" s="72">
        <v>0</v>
      </c>
      <c r="U8" s="72">
        <v>0</v>
      </c>
      <c r="V8" s="72">
        <f t="shared" si="1"/>
        <v>-4.0000000000048885E-3</v>
      </c>
      <c r="W8" s="72">
        <f t="shared" si="1"/>
        <v>-4.0000000000048885E-3</v>
      </c>
      <c r="X8" s="72">
        <v>0</v>
      </c>
      <c r="Y8" s="72">
        <v>0</v>
      </c>
      <c r="Z8" s="72">
        <v>0</v>
      </c>
      <c r="AA8" s="72" t="b">
        <v>0</v>
      </c>
      <c r="AC8" s="73">
        <v>0</v>
      </c>
      <c r="AD8" s="73">
        <v>2.4700000000000002</v>
      </c>
      <c r="AE8" s="73">
        <v>0</v>
      </c>
      <c r="AF8" s="73">
        <v>0</v>
      </c>
      <c r="AG8" s="73">
        <v>-17.78</v>
      </c>
      <c r="AH8" s="73">
        <v>-17.78</v>
      </c>
      <c r="AI8" s="73">
        <v>0</v>
      </c>
      <c r="AJ8" s="73">
        <v>0</v>
      </c>
      <c r="AK8" s="73">
        <v>0</v>
      </c>
      <c r="AL8" s="88"/>
    </row>
    <row r="9" spans="2:38" ht="17">
      <c r="B9" s="110"/>
      <c r="C9" s="43"/>
      <c r="D9" s="94" t="s">
        <v>110</v>
      </c>
      <c r="E9" s="85"/>
      <c r="F9" s="86"/>
      <c r="G9" s="75"/>
      <c r="H9" s="121"/>
      <c r="I9" s="77"/>
      <c r="J9" s="71"/>
      <c r="N9" s="72">
        <v>59</v>
      </c>
      <c r="O9" s="72" t="s">
        <v>169</v>
      </c>
      <c r="P9" s="72" t="s">
        <v>161</v>
      </c>
      <c r="Q9" s="72"/>
      <c r="R9" s="72">
        <v>0</v>
      </c>
      <c r="S9" s="72">
        <f t="shared" si="0"/>
        <v>0.24504418438022449</v>
      </c>
      <c r="T9" s="72">
        <v>0</v>
      </c>
      <c r="U9" s="72">
        <v>0</v>
      </c>
      <c r="V9" s="72">
        <f t="shared" si="1"/>
        <v>-4.0000000000048885E-3</v>
      </c>
      <c r="W9" s="72">
        <f t="shared" si="1"/>
        <v>-4.0000000000048885E-3</v>
      </c>
      <c r="X9" s="72">
        <v>0</v>
      </c>
      <c r="Y9" s="72">
        <v>0</v>
      </c>
      <c r="Z9" s="72">
        <v>0</v>
      </c>
      <c r="AA9" s="72" t="b">
        <v>0</v>
      </c>
      <c r="AC9" s="73">
        <v>0</v>
      </c>
      <c r="AD9" s="73">
        <v>1.026</v>
      </c>
      <c r="AE9" s="73">
        <v>0</v>
      </c>
      <c r="AF9" s="73">
        <v>0</v>
      </c>
      <c r="AG9" s="73">
        <v>-17.78</v>
      </c>
      <c r="AH9" s="73">
        <v>-17.78</v>
      </c>
      <c r="AI9" s="73">
        <v>0</v>
      </c>
      <c r="AJ9" s="73">
        <v>0</v>
      </c>
      <c r="AK9" s="73">
        <v>0</v>
      </c>
      <c r="AL9" s="88"/>
    </row>
    <row r="10" spans="2:38" ht="19">
      <c r="B10" s="110"/>
      <c r="C10" s="43" t="s">
        <v>170</v>
      </c>
      <c r="D10" s="81" t="s">
        <v>107</v>
      </c>
      <c r="E10" s="46">
        <v>1000</v>
      </c>
      <c r="F10" s="47">
        <v>1000</v>
      </c>
      <c r="G10" s="84"/>
      <c r="H10" s="122"/>
      <c r="I10" s="77">
        <f>E10*L19</f>
        <v>1000</v>
      </c>
      <c r="J10" s="123">
        <f>F10*L19</f>
        <v>1000</v>
      </c>
      <c r="N10" s="72">
        <v>60</v>
      </c>
      <c r="O10" s="72" t="s">
        <v>171</v>
      </c>
      <c r="P10" s="72" t="s">
        <v>161</v>
      </c>
      <c r="Q10" s="72"/>
      <c r="R10" s="72">
        <v>0</v>
      </c>
      <c r="S10" s="72">
        <f t="shared" si="0"/>
        <v>0.25005970862192495</v>
      </c>
      <c r="T10" s="72">
        <v>0</v>
      </c>
      <c r="U10" s="72">
        <v>0</v>
      </c>
      <c r="V10" s="72">
        <f t="shared" si="1"/>
        <v>-4.0000000000048885E-3</v>
      </c>
      <c r="W10" s="72">
        <f t="shared" si="1"/>
        <v>-4.0000000000048885E-3</v>
      </c>
      <c r="X10" s="72">
        <v>0</v>
      </c>
      <c r="Y10" s="72">
        <v>0</v>
      </c>
      <c r="Z10" s="72">
        <v>0</v>
      </c>
      <c r="AA10" s="72" t="b">
        <v>0</v>
      </c>
      <c r="AC10" s="73">
        <v>0</v>
      </c>
      <c r="AD10" s="73">
        <v>1.0469999999999999</v>
      </c>
      <c r="AE10" s="73">
        <v>0</v>
      </c>
      <c r="AF10" s="73">
        <v>0</v>
      </c>
      <c r="AG10" s="73">
        <v>-17.78</v>
      </c>
      <c r="AH10" s="73">
        <v>-17.78</v>
      </c>
      <c r="AI10" s="73">
        <v>0</v>
      </c>
      <c r="AJ10" s="73">
        <v>0</v>
      </c>
      <c r="AK10" s="73">
        <v>0</v>
      </c>
      <c r="AL10" s="88"/>
    </row>
    <row r="11" spans="2:38" ht="19">
      <c r="B11" s="110"/>
      <c r="C11" s="43" t="s">
        <v>172</v>
      </c>
      <c r="D11" s="83" t="s">
        <v>148</v>
      </c>
      <c r="E11" s="44">
        <v>0.15</v>
      </c>
      <c r="F11" s="45">
        <v>0.05</v>
      </c>
      <c r="G11" s="87"/>
      <c r="H11" s="124"/>
      <c r="I11" s="77"/>
      <c r="J11" s="71"/>
      <c r="N11" s="72">
        <v>61</v>
      </c>
      <c r="O11" s="72" t="s">
        <v>173</v>
      </c>
      <c r="P11" s="72" t="s">
        <v>161</v>
      </c>
      <c r="Q11" s="72"/>
      <c r="R11" s="72">
        <v>0</v>
      </c>
      <c r="S11" s="72">
        <f t="shared" si="0"/>
        <v>0.22999761165512297</v>
      </c>
      <c r="T11" s="72">
        <v>0</v>
      </c>
      <c r="U11" s="72">
        <v>0</v>
      </c>
      <c r="V11" s="72">
        <f t="shared" si="1"/>
        <v>-4.0000000000048885E-3</v>
      </c>
      <c r="W11" s="72">
        <f t="shared" si="1"/>
        <v>-4.0000000000048885E-3</v>
      </c>
      <c r="X11" s="72">
        <v>0</v>
      </c>
      <c r="Y11" s="72">
        <v>0</v>
      </c>
      <c r="Z11" s="72">
        <v>0</v>
      </c>
      <c r="AA11" s="72" t="b">
        <v>0</v>
      </c>
      <c r="AC11" s="73">
        <v>0</v>
      </c>
      <c r="AD11" s="73">
        <v>0.96299999999999997</v>
      </c>
      <c r="AE11" s="73">
        <v>0</v>
      </c>
      <c r="AF11" s="73">
        <v>0</v>
      </c>
      <c r="AG11" s="73">
        <v>-17.78</v>
      </c>
      <c r="AH11" s="73">
        <v>-17.78</v>
      </c>
      <c r="AI11" s="73">
        <v>0</v>
      </c>
      <c r="AJ11" s="73">
        <v>0</v>
      </c>
      <c r="AK11" s="73">
        <v>0</v>
      </c>
      <c r="AL11" s="88"/>
    </row>
    <row r="12" spans="2:38" ht="17">
      <c r="B12" s="110"/>
      <c r="C12" s="43" t="s">
        <v>116</v>
      </c>
      <c r="D12" s="81" t="s">
        <v>118</v>
      </c>
      <c r="E12" s="85">
        <v>15</v>
      </c>
      <c r="F12" s="86">
        <v>225</v>
      </c>
      <c r="G12" s="75"/>
      <c r="H12" s="122"/>
      <c r="I12" s="77"/>
      <c r="J12" s="71"/>
      <c r="N12" s="72">
        <v>62</v>
      </c>
      <c r="O12" s="72" t="s">
        <v>174</v>
      </c>
      <c r="P12" s="72" t="s">
        <v>161</v>
      </c>
      <c r="Q12" s="72"/>
      <c r="R12" s="72">
        <v>0</v>
      </c>
      <c r="S12" s="72">
        <f t="shared" si="0"/>
        <v>0.24002866013852397</v>
      </c>
      <c r="T12" s="72">
        <v>0</v>
      </c>
      <c r="U12" s="72">
        <v>0</v>
      </c>
      <c r="V12" s="72">
        <f t="shared" si="1"/>
        <v>-4.0000000000048885E-3</v>
      </c>
      <c r="W12" s="72">
        <f t="shared" si="1"/>
        <v>-4.0000000000048885E-3</v>
      </c>
      <c r="X12" s="72">
        <v>0</v>
      </c>
      <c r="Y12" s="72">
        <v>0</v>
      </c>
      <c r="Z12" s="72">
        <v>0</v>
      </c>
      <c r="AA12" s="72" t="b">
        <v>0</v>
      </c>
      <c r="AC12" s="73">
        <v>0</v>
      </c>
      <c r="AD12" s="73">
        <v>1.0049999999999999</v>
      </c>
      <c r="AE12" s="73">
        <v>0</v>
      </c>
      <c r="AF12" s="73">
        <v>0</v>
      </c>
      <c r="AG12" s="73">
        <v>-17.78</v>
      </c>
      <c r="AH12" s="73">
        <v>-17.78</v>
      </c>
      <c r="AI12" s="73">
        <v>0</v>
      </c>
      <c r="AJ12" s="73">
        <v>0</v>
      </c>
      <c r="AK12" s="73">
        <v>0</v>
      </c>
      <c r="AL12" s="88"/>
    </row>
    <row r="13" spans="2:38" ht="17">
      <c r="B13" s="110"/>
      <c r="C13" s="43" t="s">
        <v>149</v>
      </c>
      <c r="D13" s="81" t="s">
        <v>114</v>
      </c>
      <c r="E13" s="85">
        <v>1150</v>
      </c>
      <c r="F13" s="86">
        <v>1150</v>
      </c>
      <c r="G13" s="75"/>
      <c r="H13" s="122"/>
      <c r="I13" s="77"/>
      <c r="J13" s="71"/>
      <c r="N13" s="72">
        <v>63</v>
      </c>
      <c r="O13" s="72" t="s">
        <v>164</v>
      </c>
      <c r="P13" s="72" t="s">
        <v>161</v>
      </c>
      <c r="Q13" s="72"/>
      <c r="R13" s="72">
        <v>0</v>
      </c>
      <c r="S13" s="72">
        <f t="shared" si="0"/>
        <v>0.25005970862192495</v>
      </c>
      <c r="T13" s="72">
        <v>0</v>
      </c>
      <c r="U13" s="72">
        <v>0</v>
      </c>
      <c r="V13" s="72">
        <f t="shared" si="1"/>
        <v>-4.0000000000048885E-3</v>
      </c>
      <c r="W13" s="72">
        <f t="shared" si="1"/>
        <v>-4.0000000000048885E-3</v>
      </c>
      <c r="X13" s="72">
        <v>0</v>
      </c>
      <c r="Y13" s="72">
        <v>0</v>
      </c>
      <c r="Z13" s="72">
        <v>0</v>
      </c>
      <c r="AA13" s="72" t="b">
        <v>0</v>
      </c>
      <c r="AC13" s="73">
        <v>0</v>
      </c>
      <c r="AD13" s="73">
        <v>1.0469999999999999</v>
      </c>
      <c r="AE13" s="73">
        <v>0</v>
      </c>
      <c r="AF13" s="73">
        <v>0</v>
      </c>
      <c r="AG13" s="73">
        <v>-17.78</v>
      </c>
      <c r="AH13" s="73">
        <v>-17.78</v>
      </c>
      <c r="AI13" s="73">
        <v>0</v>
      </c>
      <c r="AJ13" s="73">
        <v>0</v>
      </c>
      <c r="AK13" s="73">
        <v>0</v>
      </c>
      <c r="AL13" s="88"/>
    </row>
    <row r="14" spans="2:38" ht="17">
      <c r="B14" s="110"/>
      <c r="C14" s="43" t="s">
        <v>147</v>
      </c>
      <c r="D14" s="81" t="s">
        <v>175</v>
      </c>
      <c r="E14" s="85">
        <v>1.522</v>
      </c>
      <c r="F14" s="86">
        <v>1.522</v>
      </c>
      <c r="G14" s="80"/>
      <c r="H14" s="120"/>
      <c r="I14" s="77"/>
      <c r="J14" s="71"/>
      <c r="N14" s="72">
        <v>64</v>
      </c>
      <c r="O14" s="72" t="s">
        <v>176</v>
      </c>
      <c r="P14" s="72" t="s">
        <v>161</v>
      </c>
      <c r="Q14" s="72"/>
      <c r="R14" s="72">
        <v>0</v>
      </c>
      <c r="S14" s="72">
        <v>14.445</v>
      </c>
      <c r="T14" s="72">
        <v>0</v>
      </c>
      <c r="U14" s="72">
        <v>0</v>
      </c>
      <c r="V14" s="72">
        <f t="shared" si="1"/>
        <v>-4.0000000000048885E-3</v>
      </c>
      <c r="W14" s="72">
        <f t="shared" si="1"/>
        <v>-4.0000000000048885E-3</v>
      </c>
      <c r="X14" s="72">
        <v>0</v>
      </c>
      <c r="Y14" s="72">
        <v>0</v>
      </c>
      <c r="Z14" s="72">
        <v>0</v>
      </c>
      <c r="AA14" s="72" t="b">
        <v>0</v>
      </c>
      <c r="AC14" s="73">
        <v>0</v>
      </c>
      <c r="AD14" s="73">
        <v>14.445</v>
      </c>
      <c r="AE14" s="73">
        <v>0</v>
      </c>
      <c r="AF14" s="73">
        <v>0</v>
      </c>
      <c r="AG14" s="73">
        <v>-17.78</v>
      </c>
      <c r="AH14" s="73">
        <v>-17.78</v>
      </c>
      <c r="AI14" s="73">
        <v>0</v>
      </c>
      <c r="AJ14" s="73">
        <v>0</v>
      </c>
      <c r="AK14" s="73">
        <v>0</v>
      </c>
      <c r="AL14" s="88"/>
    </row>
    <row r="15" spans="2:38" ht="17">
      <c r="B15" s="110"/>
      <c r="C15" s="43" t="s">
        <v>177</v>
      </c>
      <c r="D15" s="81" t="s">
        <v>7</v>
      </c>
      <c r="E15" s="44">
        <v>0.02</v>
      </c>
      <c r="F15" s="45">
        <v>0.02</v>
      </c>
      <c r="G15" s="87"/>
      <c r="H15" s="87"/>
      <c r="I15" s="77"/>
      <c r="J15" s="71"/>
      <c r="O15" s="35" t="s">
        <v>133</v>
      </c>
    </row>
    <row r="16" spans="2:38" ht="19">
      <c r="B16" s="110"/>
      <c r="C16" s="43" t="s">
        <v>122</v>
      </c>
      <c r="D16" s="83" t="s">
        <v>148</v>
      </c>
      <c r="E16" s="85">
        <v>121</v>
      </c>
      <c r="F16" s="86">
        <v>121</v>
      </c>
      <c r="G16" s="82"/>
      <c r="H16" s="84"/>
      <c r="I16" s="77"/>
      <c r="J16" s="71"/>
    </row>
    <row r="17" spans="2:27" ht="17">
      <c r="B17" s="110"/>
      <c r="C17" s="43" t="s">
        <v>150</v>
      </c>
      <c r="D17" s="81"/>
      <c r="E17" s="89" t="s">
        <v>151</v>
      </c>
      <c r="F17" s="90" t="s">
        <v>151</v>
      </c>
      <c r="G17" s="75"/>
      <c r="H17" s="121"/>
      <c r="I17" s="77"/>
      <c r="J17" s="71"/>
    </row>
    <row r="18" spans="2:27" ht="18" thickBot="1">
      <c r="B18" s="110"/>
      <c r="C18" s="48" t="s">
        <v>126</v>
      </c>
      <c r="D18" s="91" t="s">
        <v>127</v>
      </c>
      <c r="E18" s="53">
        <v>52200</v>
      </c>
      <c r="F18" s="92">
        <v>0</v>
      </c>
      <c r="G18" s="84"/>
      <c r="H18" s="122"/>
      <c r="I18" s="77"/>
      <c r="J18" s="71"/>
    </row>
    <row r="19" spans="2:27" ht="18" thickBot="1">
      <c r="B19" s="110"/>
      <c r="C19" s="49" t="s">
        <v>128</v>
      </c>
      <c r="D19" s="125" t="s">
        <v>127</v>
      </c>
      <c r="E19" s="95">
        <f>E35</f>
        <v>554985.60389300203</v>
      </c>
      <c r="F19" s="96">
        <f>F35</f>
        <v>292552.46895151655</v>
      </c>
      <c r="G19" s="93"/>
      <c r="H19" s="126"/>
      <c r="I19" s="77"/>
      <c r="J19" s="71"/>
      <c r="L19" s="35">
        <v>1</v>
      </c>
      <c r="M19" s="35" t="s">
        <v>129</v>
      </c>
    </row>
    <row r="20" spans="2:27" s="75" customFormat="1">
      <c r="C20" s="66"/>
      <c r="D20" s="97"/>
      <c r="E20" s="66"/>
      <c r="F20" s="66"/>
      <c r="I20" s="77"/>
      <c r="J20" s="77"/>
      <c r="K20" s="77"/>
      <c r="L20" s="77"/>
      <c r="M20" s="77"/>
      <c r="N20" s="77"/>
      <c r="O20" s="77"/>
      <c r="P20" s="77"/>
      <c r="Q20" s="77"/>
      <c r="R20" s="77"/>
      <c r="S20" s="77"/>
      <c r="T20" s="77"/>
      <c r="U20" s="77"/>
      <c r="V20" s="77"/>
      <c r="W20" s="77"/>
      <c r="X20" s="77"/>
      <c r="Y20" s="77"/>
      <c r="Z20" s="77"/>
      <c r="AA20" s="77"/>
    </row>
    <row r="21" spans="2:27" s="75" customFormat="1">
      <c r="C21" s="66"/>
      <c r="D21" s="97"/>
      <c r="E21" s="66"/>
      <c r="F21" s="66"/>
      <c r="I21" s="77"/>
      <c r="J21" s="77"/>
      <c r="K21" s="77"/>
      <c r="L21" s="77"/>
      <c r="M21" s="77"/>
      <c r="N21" s="77"/>
      <c r="O21" s="77"/>
      <c r="P21" s="77"/>
      <c r="Q21" s="77"/>
      <c r="R21" s="77"/>
      <c r="S21" s="77"/>
      <c r="T21" s="77"/>
      <c r="U21" s="77"/>
      <c r="V21" s="77"/>
      <c r="W21" s="77"/>
      <c r="X21" s="77"/>
      <c r="Y21" s="77"/>
      <c r="Z21" s="77"/>
      <c r="AA21" s="77"/>
    </row>
    <row r="22" spans="2:27" s="75" customFormat="1">
      <c r="C22" s="66"/>
      <c r="D22" s="97"/>
      <c r="E22" s="66"/>
      <c r="F22" s="66"/>
      <c r="I22" s="77"/>
      <c r="J22" s="77"/>
      <c r="K22" s="77"/>
      <c r="L22" s="77"/>
      <c r="M22" s="77"/>
      <c r="N22" s="77"/>
      <c r="O22" s="77"/>
      <c r="P22" s="77"/>
      <c r="Q22" s="77"/>
      <c r="R22" s="77"/>
      <c r="S22" s="77"/>
      <c r="T22" s="77"/>
      <c r="U22" s="77"/>
      <c r="V22" s="77"/>
      <c r="W22" s="77"/>
      <c r="X22" s="77"/>
      <c r="Y22" s="77"/>
      <c r="Z22" s="77"/>
      <c r="AA22" s="77"/>
    </row>
    <row r="23" spans="2:27" s="75" customFormat="1">
      <c r="C23" s="66"/>
      <c r="D23" s="66"/>
      <c r="E23" s="66"/>
      <c r="F23" s="66"/>
      <c r="I23" s="77"/>
      <c r="J23" s="77"/>
      <c r="K23" s="77"/>
      <c r="L23" s="77"/>
      <c r="M23" s="77"/>
      <c r="N23" s="77"/>
      <c r="O23" s="77"/>
      <c r="P23" s="77"/>
      <c r="Q23" s="77"/>
      <c r="R23" s="77"/>
      <c r="S23" s="77"/>
      <c r="T23" s="77"/>
      <c r="U23" s="77"/>
      <c r="V23" s="77"/>
      <c r="W23" s="77"/>
      <c r="X23" s="77"/>
      <c r="Y23" s="77"/>
      <c r="Z23" s="77"/>
      <c r="AA23" s="77"/>
    </row>
    <row r="24" spans="2:27" s="75" customFormat="1" hidden="1">
      <c r="C24" s="98" t="s">
        <v>130</v>
      </c>
      <c r="D24" s="99"/>
      <c r="E24" s="63"/>
      <c r="F24" s="63"/>
      <c r="G24" s="63"/>
      <c r="I24" s="77"/>
      <c r="J24" s="77"/>
      <c r="K24" s="77"/>
      <c r="L24" s="77"/>
      <c r="M24" s="77"/>
      <c r="N24" s="77"/>
      <c r="O24" s="77"/>
      <c r="P24" s="77"/>
      <c r="Q24" s="77"/>
      <c r="R24" s="77"/>
      <c r="S24" s="77"/>
      <c r="T24" s="77"/>
      <c r="U24" s="77"/>
      <c r="V24" s="77"/>
      <c r="W24" s="77"/>
      <c r="X24" s="77"/>
      <c r="Y24" s="77"/>
      <c r="Z24" s="77"/>
      <c r="AA24" s="77"/>
    </row>
    <row r="25" spans="2:27" hidden="1">
      <c r="C25" s="63" t="s">
        <v>178</v>
      </c>
      <c r="E25" s="100">
        <f>ROUND(E11*E10,0)</f>
        <v>150</v>
      </c>
      <c r="F25" s="100">
        <f>ROUND(F11*F10,0)</f>
        <v>50</v>
      </c>
      <c r="G25" s="63" t="s">
        <v>152</v>
      </c>
    </row>
    <row r="26" spans="2:27" hidden="1">
      <c r="C26" s="63" t="s">
        <v>179</v>
      </c>
      <c r="E26" s="100">
        <f>E10-E25</f>
        <v>850</v>
      </c>
      <c r="F26" s="100">
        <f>F10-F25</f>
        <v>950</v>
      </c>
      <c r="G26" s="63" t="s">
        <v>152</v>
      </c>
    </row>
    <row r="27" spans="2:27" hidden="1">
      <c r="E27" s="100"/>
      <c r="F27" s="100"/>
    </row>
    <row r="28" spans="2:27">
      <c r="C28" s="105" t="s">
        <v>153</v>
      </c>
      <c r="D28" s="105"/>
      <c r="E28" s="100"/>
      <c r="F28" s="100"/>
    </row>
    <row r="29" spans="2:27">
      <c r="C29" s="63" t="s">
        <v>180</v>
      </c>
      <c r="E29" s="100">
        <f>E14*E25*(E13-E12)</f>
        <v>259120.5</v>
      </c>
      <c r="F29" s="100">
        <f>F14*F25*(F13-F12)</f>
        <v>70392.5</v>
      </c>
      <c r="G29" s="63" t="s">
        <v>154</v>
      </c>
    </row>
    <row r="30" spans="2:27">
      <c r="C30" s="63" t="s">
        <v>181</v>
      </c>
      <c r="E30" s="100">
        <f>IF(E17="Endothermic",1,-1)*E15*E10*E16</f>
        <v>2420</v>
      </c>
      <c r="F30" s="100">
        <f>IF(F17="Endothermic",1,-1)*F15*F10*F16</f>
        <v>2420</v>
      </c>
      <c r="G30" s="63" t="s">
        <v>154</v>
      </c>
      <c r="J30" s="50">
        <f>IF(E30&lt;0,-1,0)*E30*L19</f>
        <v>0</v>
      </c>
      <c r="K30" s="50">
        <f>IF(F30&lt;0,-1,0)*F30*L19</f>
        <v>0</v>
      </c>
    </row>
    <row r="31" spans="2:27">
      <c r="C31" s="63" t="s">
        <v>182</v>
      </c>
      <c r="E31" s="100">
        <f>E8*E26*(E13-E12)</f>
        <v>241245.10389300209</v>
      </c>
      <c r="F31" s="100">
        <f>F8*F26*(F13-F12)</f>
        <v>219739.96895151655</v>
      </c>
      <c r="G31" s="63" t="s">
        <v>154</v>
      </c>
    </row>
    <row r="32" spans="2:27">
      <c r="C32" s="101" t="s">
        <v>155</v>
      </c>
      <c r="D32" s="102"/>
      <c r="E32" s="103">
        <f>E29+E31+(IF(E17="Endothermic",E30,0))</f>
        <v>502785.60389300209</v>
      </c>
      <c r="F32" s="103">
        <f>F29+F31+(IF(F17="Endothermic",F30,0))</f>
        <v>292552.46895151655</v>
      </c>
      <c r="G32" s="104" t="s">
        <v>154</v>
      </c>
    </row>
    <row r="34" spans="3:27">
      <c r="C34" s="101"/>
      <c r="D34" s="102"/>
      <c r="E34" s="103"/>
      <c r="F34" s="103"/>
      <c r="G34" s="104"/>
    </row>
    <row r="35" spans="3:27">
      <c r="C35" s="101" t="s">
        <v>183</v>
      </c>
      <c r="D35" s="102"/>
      <c r="E35" s="103">
        <f>E32+E18</f>
        <v>554985.60389300203</v>
      </c>
      <c r="F35" s="103">
        <f>F32+F18</f>
        <v>292552.46895151655</v>
      </c>
      <c r="G35" s="104" t="s">
        <v>154</v>
      </c>
    </row>
    <row r="37" spans="3:27" s="105" customFormat="1" ht="17" thickBot="1">
      <c r="I37" s="106"/>
      <c r="J37" s="106"/>
      <c r="K37" s="106"/>
      <c r="L37" s="106"/>
      <c r="M37" s="106"/>
      <c r="N37" s="106"/>
      <c r="O37" s="106"/>
      <c r="P37" s="106"/>
      <c r="Q37" s="106"/>
      <c r="R37" s="106"/>
      <c r="S37" s="106"/>
      <c r="T37" s="106"/>
      <c r="U37" s="106"/>
      <c r="V37" s="106"/>
      <c r="W37" s="106"/>
      <c r="X37" s="106"/>
      <c r="Y37" s="106"/>
      <c r="Z37" s="106"/>
      <c r="AA37" s="106"/>
    </row>
    <row r="38" spans="3:27" s="105" customFormat="1" ht="22" thickBot="1">
      <c r="C38" s="127" t="s">
        <v>134</v>
      </c>
      <c r="D38" s="37"/>
      <c r="E38" s="38" t="s">
        <v>99</v>
      </c>
      <c r="F38" s="108" t="s">
        <v>100</v>
      </c>
      <c r="I38" s="106"/>
      <c r="J38" s="106"/>
      <c r="K38" s="106"/>
      <c r="L38" s="106"/>
      <c r="M38" s="106"/>
      <c r="N38" s="106"/>
      <c r="O38" s="106"/>
      <c r="P38" s="106"/>
      <c r="Q38" s="106"/>
      <c r="R38" s="106"/>
      <c r="S38" s="106"/>
      <c r="T38" s="106"/>
      <c r="U38" s="106"/>
      <c r="V38" s="106"/>
      <c r="W38" s="106"/>
      <c r="X38" s="106"/>
      <c r="Y38" s="106"/>
      <c r="Z38" s="106"/>
      <c r="AA38" s="106"/>
    </row>
    <row r="39" spans="3:27" s="105" customFormat="1" ht="20" thickBot="1">
      <c r="C39" s="128" t="s">
        <v>161</v>
      </c>
      <c r="D39" s="129"/>
      <c r="E39" s="111"/>
      <c r="F39" s="112"/>
      <c r="I39" s="106"/>
      <c r="J39" s="106"/>
      <c r="K39" s="106"/>
      <c r="L39" s="106"/>
      <c r="M39" s="106"/>
      <c r="N39" s="106"/>
      <c r="O39" s="106"/>
      <c r="P39" s="106"/>
      <c r="Q39" s="106"/>
      <c r="R39" s="106"/>
      <c r="S39" s="106"/>
      <c r="T39" s="106"/>
      <c r="U39" s="106"/>
      <c r="V39" s="106"/>
      <c r="W39" s="106"/>
      <c r="X39" s="106"/>
      <c r="Y39" s="106"/>
      <c r="Z39" s="106"/>
      <c r="AA39" s="106"/>
    </row>
    <row r="40" spans="3:27" s="105" customFormat="1" ht="42" customHeight="1">
      <c r="C40" s="1113" t="s">
        <v>145</v>
      </c>
      <c r="D40" s="1114"/>
      <c r="E40" s="42" t="s">
        <v>162</v>
      </c>
      <c r="F40" s="42" t="str">
        <f>E40</f>
        <v>Water vapor - near atm. pressure</v>
      </c>
      <c r="I40" s="106"/>
      <c r="J40" s="106"/>
      <c r="K40" s="106"/>
      <c r="L40" s="106"/>
      <c r="M40" s="106"/>
      <c r="N40" s="106"/>
      <c r="O40" s="106"/>
      <c r="P40" s="106"/>
      <c r="Q40" s="106"/>
      <c r="R40" s="106"/>
      <c r="S40" s="106"/>
      <c r="T40" s="106"/>
      <c r="U40" s="106"/>
      <c r="V40" s="106"/>
      <c r="W40" s="106"/>
      <c r="X40" s="106"/>
      <c r="Y40" s="106"/>
      <c r="Z40" s="106"/>
      <c r="AA40" s="106"/>
    </row>
    <row r="41" spans="3:27" s="105" customFormat="1" ht="27" customHeight="1" thickBot="1">
      <c r="C41" s="1117"/>
      <c r="D41" s="1118"/>
      <c r="E41" s="78" t="str">
        <f>IF(E40="Other",K41,"")</f>
        <v/>
      </c>
      <c r="F41" s="78"/>
      <c r="I41" s="106"/>
      <c r="J41" s="106"/>
      <c r="K41" s="35" t="s">
        <v>184</v>
      </c>
      <c r="L41" s="106"/>
      <c r="M41" s="106"/>
      <c r="N41" s="106"/>
      <c r="O41" s="106"/>
      <c r="P41" s="106"/>
      <c r="Q41" s="106"/>
      <c r="R41" s="106"/>
      <c r="S41" s="106"/>
      <c r="T41" s="106"/>
      <c r="U41" s="106"/>
      <c r="V41" s="106"/>
      <c r="W41" s="106"/>
      <c r="X41" s="106"/>
      <c r="Y41" s="106"/>
      <c r="Z41" s="106"/>
      <c r="AA41" s="106"/>
    </row>
    <row r="42" spans="3:27" s="105" customFormat="1" ht="20" customHeight="1">
      <c r="C42" s="130" t="s">
        <v>167</v>
      </c>
      <c r="D42" s="81" t="s">
        <v>175</v>
      </c>
      <c r="E42" s="131">
        <f>IF(E40="Other",K42,VLOOKUP(E40,$O$5:$AA$44,5,))</f>
        <v>0.47002627179364698</v>
      </c>
      <c r="F42" s="119">
        <f>E42</f>
        <v>0.47002627179364698</v>
      </c>
      <c r="I42" s="106"/>
      <c r="J42" s="106"/>
      <c r="K42" s="35">
        <v>0</v>
      </c>
      <c r="L42" s="106"/>
      <c r="M42" s="106"/>
      <c r="N42" s="106"/>
      <c r="O42" s="106"/>
      <c r="P42" s="106"/>
      <c r="Q42" s="106"/>
      <c r="R42" s="106"/>
      <c r="S42" s="106"/>
      <c r="T42" s="106"/>
      <c r="U42" s="106"/>
      <c r="V42" s="106"/>
      <c r="W42" s="106"/>
      <c r="X42" s="106"/>
      <c r="Y42" s="106"/>
      <c r="Z42" s="106"/>
      <c r="AA42" s="106"/>
    </row>
    <row r="43" spans="3:27" s="105" customFormat="1">
      <c r="C43" s="43"/>
      <c r="D43" s="94"/>
      <c r="E43" s="132"/>
      <c r="F43" s="85"/>
      <c r="I43" s="106"/>
      <c r="J43" s="106"/>
      <c r="K43" s="106"/>
      <c r="L43" s="106"/>
      <c r="M43" s="106"/>
      <c r="N43" s="106"/>
      <c r="O43" s="106"/>
      <c r="P43" s="106"/>
      <c r="Q43" s="106"/>
      <c r="R43" s="106"/>
      <c r="S43" s="106"/>
      <c r="T43" s="106"/>
      <c r="U43" s="106"/>
      <c r="V43" s="106"/>
      <c r="W43" s="106"/>
      <c r="X43" s="106"/>
      <c r="Y43" s="106"/>
      <c r="Z43" s="106"/>
      <c r="AA43" s="106"/>
    </row>
    <row r="44" spans="3:27" s="105" customFormat="1" ht="17">
      <c r="C44" s="43" t="s">
        <v>170</v>
      </c>
      <c r="D44" s="81" t="s">
        <v>135</v>
      </c>
      <c r="E44" s="55">
        <v>0</v>
      </c>
      <c r="F44" s="46">
        <v>0</v>
      </c>
      <c r="I44" s="77">
        <f>E44*L53</f>
        <v>0</v>
      </c>
      <c r="J44" s="123">
        <f>F44*L53</f>
        <v>0</v>
      </c>
      <c r="K44" s="106"/>
      <c r="L44" s="106"/>
      <c r="M44" s="106"/>
      <c r="N44" s="106"/>
      <c r="O44" s="106"/>
      <c r="P44" s="106"/>
      <c r="Q44" s="106"/>
      <c r="R44" s="106"/>
      <c r="S44" s="106"/>
      <c r="T44" s="106"/>
      <c r="U44" s="106"/>
      <c r="V44" s="106"/>
      <c r="W44" s="106"/>
      <c r="X44" s="106"/>
      <c r="Y44" s="106"/>
      <c r="Z44" s="106"/>
      <c r="AA44" s="106"/>
    </row>
    <row r="45" spans="3:27" ht="17">
      <c r="C45" s="43" t="s">
        <v>172</v>
      </c>
      <c r="D45" s="81" t="s">
        <v>7</v>
      </c>
      <c r="E45" s="54">
        <v>0.05</v>
      </c>
      <c r="F45" s="44">
        <v>0.05</v>
      </c>
    </row>
    <row r="46" spans="3:27" ht="17">
      <c r="C46" s="43" t="s">
        <v>116</v>
      </c>
      <c r="D46" s="81" t="s">
        <v>118</v>
      </c>
      <c r="E46" s="132">
        <v>15</v>
      </c>
      <c r="F46" s="85">
        <v>15</v>
      </c>
    </row>
    <row r="47" spans="3:27" ht="17">
      <c r="C47" s="43" t="s">
        <v>149</v>
      </c>
      <c r="D47" s="81" t="s">
        <v>118</v>
      </c>
      <c r="E47" s="132">
        <v>120</v>
      </c>
      <c r="F47" s="85">
        <v>120</v>
      </c>
    </row>
    <row r="48" spans="3:27" ht="17">
      <c r="C48" s="43" t="s">
        <v>147</v>
      </c>
      <c r="D48" s="81" t="s">
        <v>175</v>
      </c>
      <c r="E48" s="132">
        <v>1.522</v>
      </c>
      <c r="F48" s="85">
        <v>1.522</v>
      </c>
    </row>
    <row r="49" spans="3:13" ht="17">
      <c r="C49" s="43" t="s">
        <v>177</v>
      </c>
      <c r="D49" s="81" t="s">
        <v>7</v>
      </c>
      <c r="E49" s="54">
        <v>0.02</v>
      </c>
      <c r="F49" s="44">
        <v>0.02</v>
      </c>
    </row>
    <row r="50" spans="3:13" ht="17">
      <c r="C50" s="43" t="s">
        <v>122</v>
      </c>
      <c r="D50" s="81" t="s">
        <v>123</v>
      </c>
      <c r="E50" s="132">
        <v>121</v>
      </c>
      <c r="F50" s="85">
        <v>121</v>
      </c>
    </row>
    <row r="51" spans="3:13" ht="17">
      <c r="C51" s="43" t="s">
        <v>150</v>
      </c>
      <c r="D51" s="81"/>
      <c r="E51" s="133" t="s">
        <v>125</v>
      </c>
      <c r="F51" s="89" t="s">
        <v>125</v>
      </c>
    </row>
    <row r="52" spans="3:13" ht="18" thickBot="1">
      <c r="C52" s="48" t="s">
        <v>126</v>
      </c>
      <c r="D52" s="91" t="s">
        <v>127</v>
      </c>
      <c r="E52" s="56">
        <v>0</v>
      </c>
      <c r="F52" s="53">
        <v>0</v>
      </c>
    </row>
    <row r="53" spans="3:13" ht="18" thickBot="1">
      <c r="C53" s="49" t="s">
        <v>136</v>
      </c>
      <c r="D53" s="125" t="s">
        <v>127</v>
      </c>
      <c r="E53" s="134">
        <f>E69</f>
        <v>0</v>
      </c>
      <c r="F53" s="95">
        <f>F69</f>
        <v>0</v>
      </c>
      <c r="L53" s="35">
        <v>1</v>
      </c>
      <c r="M53" s="35" t="s">
        <v>129</v>
      </c>
    </row>
    <row r="54" spans="3:13">
      <c r="C54" s="66"/>
      <c r="D54" s="66"/>
      <c r="E54" s="66"/>
      <c r="F54" s="66"/>
    </row>
    <row r="55" spans="3:13">
      <c r="C55" s="66"/>
      <c r="D55" s="66"/>
      <c r="E55" s="66"/>
      <c r="F55" s="66"/>
    </row>
    <row r="56" spans="3:13">
      <c r="C56" s="66"/>
      <c r="D56" s="66"/>
      <c r="E56" s="66"/>
      <c r="F56" s="66"/>
    </row>
    <row r="57" spans="3:13">
      <c r="C57" s="66"/>
      <c r="D57" s="66"/>
      <c r="E57" s="66"/>
      <c r="F57" s="66"/>
    </row>
    <row r="58" spans="3:13" hidden="1">
      <c r="C58" s="98" t="s">
        <v>130</v>
      </c>
      <c r="D58" s="99"/>
    </row>
    <row r="59" spans="3:13" hidden="1">
      <c r="C59" s="63" t="s">
        <v>178</v>
      </c>
      <c r="E59" s="100">
        <f>ROUND(E45*E44,0)</f>
        <v>0</v>
      </c>
      <c r="F59" s="100">
        <f>ROUND(F45*F44,0)</f>
        <v>0</v>
      </c>
    </row>
    <row r="60" spans="3:13" hidden="1">
      <c r="C60" s="63" t="s">
        <v>179</v>
      </c>
      <c r="E60" s="100">
        <f>E44-E59</f>
        <v>0</v>
      </c>
      <c r="F60" s="100">
        <f>F44-F59</f>
        <v>0</v>
      </c>
    </row>
    <row r="61" spans="3:13" hidden="1">
      <c r="E61" s="100"/>
      <c r="F61" s="100"/>
    </row>
    <row r="62" spans="3:13" hidden="1">
      <c r="C62" s="105" t="s">
        <v>153</v>
      </c>
      <c r="D62" s="105"/>
      <c r="E62" s="100"/>
      <c r="F62" s="100"/>
    </row>
    <row r="63" spans="3:13" hidden="1">
      <c r="C63" s="63" t="s">
        <v>180</v>
      </c>
      <c r="E63" s="100">
        <f>E48*E59*(E47-E46)</f>
        <v>0</v>
      </c>
      <c r="F63" s="100">
        <f>F48*F59*(F47-F46)</f>
        <v>0</v>
      </c>
    </row>
    <row r="64" spans="3:13" hidden="1">
      <c r="C64" s="63" t="s">
        <v>181</v>
      </c>
      <c r="E64" s="100">
        <f>IF(E51="Endothermic",1,-1)*E49*E44*E50</f>
        <v>0</v>
      </c>
      <c r="F64" s="100">
        <f>IF(F51="Endothermic",1,-1)*F49*F44*F50</f>
        <v>0</v>
      </c>
      <c r="J64" s="50">
        <f>IF(E64&lt;0,-1,0)*E64*L53</f>
        <v>0</v>
      </c>
      <c r="K64" s="50">
        <f>IF(F64&lt;0,-1,0)*F64*L53</f>
        <v>0</v>
      </c>
    </row>
    <row r="65" spans="3:11" hidden="1">
      <c r="C65" s="63" t="s">
        <v>182</v>
      </c>
      <c r="E65" s="100">
        <f>E42*E60*(E47-E46)</f>
        <v>0</v>
      </c>
      <c r="F65" s="100">
        <f>F42*F60*(F47-F46)</f>
        <v>0</v>
      </c>
    </row>
    <row r="66" spans="3:11" hidden="1">
      <c r="C66" s="101" t="s">
        <v>155</v>
      </c>
      <c r="D66" s="102"/>
      <c r="E66" s="103">
        <f>E63+E65+(IF(E51="Endothermic",E64,0))</f>
        <v>0</v>
      </c>
      <c r="F66" s="103">
        <f>F63+F65+(IF(F51="Endothermic",F64,0))</f>
        <v>0</v>
      </c>
    </row>
    <row r="67" spans="3:11" hidden="1"/>
    <row r="68" spans="3:11" hidden="1">
      <c r="C68" s="101"/>
      <c r="D68" s="102"/>
      <c r="E68" s="103"/>
      <c r="F68" s="103"/>
    </row>
    <row r="69" spans="3:11" hidden="1">
      <c r="C69" s="101" t="s">
        <v>183</v>
      </c>
      <c r="D69" s="102"/>
      <c r="E69" s="103">
        <f>E66+E52</f>
        <v>0</v>
      </c>
      <c r="F69" s="103">
        <f>F66+F52</f>
        <v>0</v>
      </c>
    </row>
    <row r="71" spans="3:11" ht="17" thickBot="1"/>
    <row r="72" spans="3:11" ht="22" thickBot="1">
      <c r="C72" s="51" t="s">
        <v>137</v>
      </c>
      <c r="D72" s="52"/>
      <c r="E72" s="38" t="s">
        <v>99</v>
      </c>
      <c r="F72" s="108" t="s">
        <v>100</v>
      </c>
    </row>
    <row r="73" spans="3:11" ht="20" thickBot="1">
      <c r="C73" s="135" t="s">
        <v>161</v>
      </c>
      <c r="D73" s="136"/>
      <c r="E73" s="111"/>
      <c r="F73" s="112"/>
    </row>
    <row r="74" spans="3:11" ht="42" customHeight="1">
      <c r="C74" s="1113" t="s">
        <v>145</v>
      </c>
      <c r="D74" s="1114"/>
      <c r="E74" s="42" t="s">
        <v>162</v>
      </c>
      <c r="F74" s="42" t="str">
        <f>E74</f>
        <v>Water vapor - near atm. pressure</v>
      </c>
    </row>
    <row r="75" spans="3:11" ht="27" customHeight="1">
      <c r="C75" s="1115"/>
      <c r="D75" s="1116"/>
      <c r="E75" s="78" t="str">
        <f>IF(E74="Other",K75,"")</f>
        <v/>
      </c>
      <c r="F75" s="78"/>
      <c r="K75" s="35" t="s">
        <v>184</v>
      </c>
    </row>
    <row r="76" spans="3:11" ht="20" customHeight="1">
      <c r="C76" s="107" t="s">
        <v>167</v>
      </c>
      <c r="D76" s="94" t="s">
        <v>175</v>
      </c>
      <c r="E76" s="119">
        <f>IF(E74="Other",K76,VLOOKUP(E74,$O$5:$AA$44,5,))</f>
        <v>0.47002627179364698</v>
      </c>
      <c r="F76" s="137">
        <f>E76</f>
        <v>0.47002627179364698</v>
      </c>
      <c r="K76" s="35">
        <v>0</v>
      </c>
    </row>
    <row r="77" spans="3:11">
      <c r="C77" s="43"/>
      <c r="D77" s="94"/>
      <c r="E77" s="85"/>
      <c r="F77" s="86"/>
    </row>
    <row r="78" spans="3:11" ht="17">
      <c r="C78" s="43" t="s">
        <v>170</v>
      </c>
      <c r="D78" s="81" t="s">
        <v>135</v>
      </c>
      <c r="E78" s="46">
        <v>0</v>
      </c>
      <c r="F78" s="47">
        <v>0</v>
      </c>
      <c r="I78" s="77">
        <f>E78*L87</f>
        <v>0</v>
      </c>
      <c r="J78" s="123">
        <f>F78*L87</f>
        <v>0</v>
      </c>
    </row>
    <row r="79" spans="3:11" ht="17">
      <c r="C79" s="43" t="s">
        <v>172</v>
      </c>
      <c r="D79" s="81" t="s">
        <v>7</v>
      </c>
      <c r="E79" s="44">
        <v>0.05</v>
      </c>
      <c r="F79" s="45">
        <v>0.05</v>
      </c>
    </row>
    <row r="80" spans="3:11" ht="17">
      <c r="C80" s="43" t="s">
        <v>116</v>
      </c>
      <c r="D80" s="81" t="s">
        <v>118</v>
      </c>
      <c r="E80" s="85">
        <v>15</v>
      </c>
      <c r="F80" s="86">
        <v>15</v>
      </c>
    </row>
    <row r="81" spans="3:13" ht="17">
      <c r="C81" s="43" t="s">
        <v>149</v>
      </c>
      <c r="D81" s="81" t="s">
        <v>118</v>
      </c>
      <c r="E81" s="85">
        <v>120</v>
      </c>
      <c r="F81" s="86">
        <v>120</v>
      </c>
    </row>
    <row r="82" spans="3:13" ht="17">
      <c r="C82" s="43" t="s">
        <v>147</v>
      </c>
      <c r="D82" s="81" t="s">
        <v>175</v>
      </c>
      <c r="E82" s="85">
        <v>1.522</v>
      </c>
      <c r="F82" s="86">
        <v>1.522</v>
      </c>
    </row>
    <row r="83" spans="3:13" ht="17">
      <c r="C83" s="43" t="s">
        <v>177</v>
      </c>
      <c r="D83" s="81" t="s">
        <v>7</v>
      </c>
      <c r="E83" s="44">
        <v>0.02</v>
      </c>
      <c r="F83" s="45">
        <v>0.02</v>
      </c>
    </row>
    <row r="84" spans="3:13" ht="17">
      <c r="C84" s="43" t="s">
        <v>122</v>
      </c>
      <c r="D84" s="81" t="s">
        <v>123</v>
      </c>
      <c r="E84" s="85">
        <v>121</v>
      </c>
      <c r="F84" s="86">
        <v>121</v>
      </c>
    </row>
    <row r="85" spans="3:13" ht="17">
      <c r="C85" s="43" t="s">
        <v>150</v>
      </c>
      <c r="D85" s="81"/>
      <c r="E85" s="89" t="s">
        <v>151</v>
      </c>
      <c r="F85" s="90" t="s">
        <v>151</v>
      </c>
    </row>
    <row r="86" spans="3:13" ht="18" thickBot="1">
      <c r="C86" s="48" t="s">
        <v>126</v>
      </c>
      <c r="D86" s="91" t="s">
        <v>127</v>
      </c>
      <c r="E86" s="53">
        <v>0</v>
      </c>
      <c r="F86" s="92">
        <v>0</v>
      </c>
    </row>
    <row r="87" spans="3:13" ht="18" thickBot="1">
      <c r="C87" s="49" t="s">
        <v>138</v>
      </c>
      <c r="D87" s="125" t="s">
        <v>127</v>
      </c>
      <c r="E87" s="95">
        <f>E103</f>
        <v>0</v>
      </c>
      <c r="F87" s="96">
        <f>F103</f>
        <v>0</v>
      </c>
      <c r="L87" s="35">
        <v>1</v>
      </c>
      <c r="M87" s="35" t="s">
        <v>129</v>
      </c>
    </row>
    <row r="88" spans="3:13">
      <c r="C88" s="66"/>
      <c r="D88" s="66"/>
      <c r="E88" s="66"/>
      <c r="F88" s="66"/>
    </row>
    <row r="89" spans="3:13">
      <c r="C89" s="66"/>
      <c r="D89" s="66"/>
      <c r="E89" s="66"/>
      <c r="F89" s="66"/>
    </row>
    <row r="90" spans="3:13">
      <c r="C90" s="66"/>
      <c r="D90" s="66"/>
      <c r="E90" s="66"/>
      <c r="F90" s="66"/>
    </row>
    <row r="91" spans="3:13">
      <c r="C91" s="66"/>
      <c r="D91" s="66"/>
      <c r="E91" s="66"/>
      <c r="F91" s="66"/>
    </row>
    <row r="92" spans="3:13" hidden="1">
      <c r="C92" s="98" t="s">
        <v>130</v>
      </c>
      <c r="D92" s="99"/>
    </row>
    <row r="93" spans="3:13" hidden="1">
      <c r="C93" s="63" t="s">
        <v>178</v>
      </c>
      <c r="E93" s="100">
        <f>ROUND(E79*E78,0)</f>
        <v>0</v>
      </c>
      <c r="F93" s="100">
        <f>ROUND(F79*F78,0)</f>
        <v>0</v>
      </c>
    </row>
    <row r="94" spans="3:13" hidden="1">
      <c r="C94" s="63" t="s">
        <v>179</v>
      </c>
      <c r="E94" s="100">
        <f>E78-E93</f>
        <v>0</v>
      </c>
      <c r="F94" s="100">
        <f>F78-F93</f>
        <v>0</v>
      </c>
    </row>
    <row r="95" spans="3:13" hidden="1">
      <c r="E95" s="100"/>
      <c r="F95" s="100"/>
    </row>
    <row r="96" spans="3:13" hidden="1">
      <c r="C96" s="105" t="s">
        <v>153</v>
      </c>
      <c r="D96" s="105"/>
      <c r="E96" s="100"/>
      <c r="F96" s="100"/>
    </row>
    <row r="97" spans="3:12" hidden="1">
      <c r="C97" s="63" t="s">
        <v>180</v>
      </c>
      <c r="E97" s="100">
        <f>E82*E93*(E81-E80)</f>
        <v>0</v>
      </c>
      <c r="F97" s="100">
        <f>F82*F93*(F81-F80)</f>
        <v>0</v>
      </c>
    </row>
    <row r="98" spans="3:12" hidden="1">
      <c r="C98" s="63" t="s">
        <v>181</v>
      </c>
      <c r="E98" s="100">
        <f>IF(E85="Endothermic",1,-1)*E83*E78*E84</f>
        <v>0</v>
      </c>
      <c r="F98" s="100">
        <f>IF(F85="Endothermic",1,-1)*F83*F78*F84</f>
        <v>0</v>
      </c>
      <c r="J98" s="50">
        <f>IF(E98&lt;0,-1,0)*E98*L87</f>
        <v>0</v>
      </c>
      <c r="K98" s="50">
        <f>IF(F98&lt;0,-1,0)*F98*L87</f>
        <v>0</v>
      </c>
    </row>
    <row r="99" spans="3:12" hidden="1">
      <c r="C99" s="63" t="s">
        <v>182</v>
      </c>
      <c r="E99" s="100">
        <f>E76*E94*(E81-E80)</f>
        <v>0</v>
      </c>
      <c r="F99" s="100">
        <f>F76*F94*(F81-F80)</f>
        <v>0</v>
      </c>
    </row>
    <row r="100" spans="3:12" hidden="1">
      <c r="C100" s="101" t="s">
        <v>155</v>
      </c>
      <c r="D100" s="102"/>
      <c r="E100" s="103">
        <f>E97+E99+(IF(E85="Endothermic",E98,0))</f>
        <v>0</v>
      </c>
      <c r="F100" s="103">
        <f>F97+F99+(IF(F85="Endothermic",F98,0))</f>
        <v>0</v>
      </c>
    </row>
    <row r="101" spans="3:12" hidden="1"/>
    <row r="102" spans="3:12" hidden="1">
      <c r="C102" s="101"/>
      <c r="D102" s="102"/>
      <c r="E102" s="103"/>
      <c r="F102" s="103"/>
    </row>
    <row r="103" spans="3:12" hidden="1">
      <c r="C103" s="101" t="s">
        <v>183</v>
      </c>
      <c r="D103" s="102"/>
      <c r="E103" s="103">
        <f>E100+E86</f>
        <v>0</v>
      </c>
      <c r="F103" s="103">
        <f>F100+F86</f>
        <v>0</v>
      </c>
    </row>
    <row r="104" spans="3:12" ht="17" thickBot="1"/>
    <row r="105" spans="3:12" ht="17" thickBot="1">
      <c r="C105" s="1119" t="s">
        <v>139</v>
      </c>
      <c r="D105" s="1120"/>
      <c r="E105" s="138">
        <f>(E19*L19)+(E53*L53)+(E87*L87)</f>
        <v>554985.60389300203</v>
      </c>
      <c r="F105" s="109">
        <f>(F19*L19)+(F53*L53)+(F87*L87)</f>
        <v>292552.46895151655</v>
      </c>
      <c r="I105" s="35">
        <f>I78+I44+I10</f>
        <v>1000</v>
      </c>
      <c r="J105" s="35">
        <f>J78+J44+J10</f>
        <v>1000</v>
      </c>
      <c r="K105" s="50">
        <f>J98+J64+J30</f>
        <v>0</v>
      </c>
      <c r="L105" s="50">
        <f>K98+K64+K30</f>
        <v>0</v>
      </c>
    </row>
    <row r="106" spans="3:12" ht="17" thickBot="1"/>
    <row r="107" spans="3:12">
      <c r="C107" s="1121" t="s">
        <v>140</v>
      </c>
      <c r="D107" s="1122"/>
      <c r="E107" s="1122"/>
      <c r="F107" s="1123"/>
    </row>
    <row r="108" spans="3:12">
      <c r="C108" s="1108" t="s">
        <v>141</v>
      </c>
      <c r="D108" s="1109"/>
      <c r="E108" s="1109"/>
      <c r="F108" s="1110"/>
    </row>
    <row r="109" spans="3:12">
      <c r="C109" s="57" t="s">
        <v>185</v>
      </c>
      <c r="D109" s="58"/>
      <c r="E109" s="58"/>
      <c r="F109" s="59"/>
      <c r="I109" s="35">
        <f>IF(C109="",0,1)</f>
        <v>1</v>
      </c>
    </row>
    <row r="110" spans="3:12">
      <c r="C110" s="57" t="s">
        <v>186</v>
      </c>
      <c r="D110" s="58"/>
      <c r="E110" s="58"/>
      <c r="F110" s="59"/>
      <c r="I110" s="35">
        <f>IF(C110="",0,1)</f>
        <v>1</v>
      </c>
    </row>
    <row r="111" spans="3:12">
      <c r="C111" s="57" t="s">
        <v>187</v>
      </c>
      <c r="D111" s="58"/>
      <c r="E111" s="58"/>
      <c r="F111" s="59"/>
      <c r="I111" s="35">
        <f>IF(C111="",0,1)</f>
        <v>1</v>
      </c>
    </row>
    <row r="112" spans="3:12">
      <c r="C112" s="57"/>
      <c r="D112" s="58"/>
      <c r="E112" s="58"/>
      <c r="F112" s="59"/>
      <c r="I112" s="35">
        <f>IF(C112="",0,1)</f>
        <v>0</v>
      </c>
    </row>
    <row r="113" spans="3:9" ht="17" thickBot="1">
      <c r="C113" s="60"/>
      <c r="D113" s="61"/>
      <c r="E113" s="61"/>
      <c r="F113" s="62"/>
      <c r="I113" s="35">
        <f>IF(C113="",0,1)</f>
        <v>0</v>
      </c>
    </row>
    <row r="114" spans="3:9">
      <c r="I114" s="35">
        <f>SUM(I109:I113)</f>
        <v>3</v>
      </c>
    </row>
  </sheetData>
  <mergeCells count="7">
    <mergeCell ref="C108:F108"/>
    <mergeCell ref="C5:D5"/>
    <mergeCell ref="C6:D7"/>
    <mergeCell ref="C40:D41"/>
    <mergeCell ref="C74:D75"/>
    <mergeCell ref="C105:D105"/>
    <mergeCell ref="C107:F107"/>
  </mergeCells>
  <dataValidations count="3">
    <dataValidation type="decimal" allowBlank="1" showInputMessage="1" showErrorMessage="1" sqref="E11:F11 JA11:JB11 SW11:SX11 ACS11:ACT11 AMO11:AMP11 AWK11:AWL11 BGG11:BGH11 BQC11:BQD11 BZY11:BZZ11 CJU11:CJV11 CTQ11:CTR11 DDM11:DDN11 DNI11:DNJ11 DXE11:DXF11 EHA11:EHB11 EQW11:EQX11 FAS11:FAT11 FKO11:FKP11 FUK11:FUL11 GEG11:GEH11 GOC11:GOD11 GXY11:GXZ11 HHU11:HHV11 HRQ11:HRR11 IBM11:IBN11 ILI11:ILJ11 IVE11:IVF11 JFA11:JFB11 JOW11:JOX11 JYS11:JYT11 KIO11:KIP11 KSK11:KSL11 LCG11:LCH11 LMC11:LMD11 LVY11:LVZ11 MFU11:MFV11 MPQ11:MPR11 MZM11:MZN11 NJI11:NJJ11 NTE11:NTF11 ODA11:ODB11 OMW11:OMX11 OWS11:OWT11 PGO11:PGP11 PQK11:PQL11 QAG11:QAH11 QKC11:QKD11 QTY11:QTZ11 RDU11:RDV11 RNQ11:RNR11 RXM11:RXN11 SHI11:SHJ11 SRE11:SRF11 TBA11:TBB11 TKW11:TKX11 TUS11:TUT11 UEO11:UEP11 UOK11:UOL11 UYG11:UYH11 VIC11:VID11 VRY11:VRZ11 WBU11:WBV11 WLQ11:WLR11 WVM11:WVN11 E65547:F65547 JA65547:JB65547 SW65547:SX65547 ACS65547:ACT65547 AMO65547:AMP65547 AWK65547:AWL65547 BGG65547:BGH65547 BQC65547:BQD65547 BZY65547:BZZ65547 CJU65547:CJV65547 CTQ65547:CTR65547 DDM65547:DDN65547 DNI65547:DNJ65547 DXE65547:DXF65547 EHA65547:EHB65547 EQW65547:EQX65547 FAS65547:FAT65547 FKO65547:FKP65547 FUK65547:FUL65547 GEG65547:GEH65547 GOC65547:GOD65547 GXY65547:GXZ65547 HHU65547:HHV65547 HRQ65547:HRR65547 IBM65547:IBN65547 ILI65547:ILJ65547 IVE65547:IVF65547 JFA65547:JFB65547 JOW65547:JOX65547 JYS65547:JYT65547 KIO65547:KIP65547 KSK65547:KSL65547 LCG65547:LCH65547 LMC65547:LMD65547 LVY65547:LVZ65547 MFU65547:MFV65547 MPQ65547:MPR65547 MZM65547:MZN65547 NJI65547:NJJ65547 NTE65547:NTF65547 ODA65547:ODB65547 OMW65547:OMX65547 OWS65547:OWT65547 PGO65547:PGP65547 PQK65547:PQL65547 QAG65547:QAH65547 QKC65547:QKD65547 QTY65547:QTZ65547 RDU65547:RDV65547 RNQ65547:RNR65547 RXM65547:RXN65547 SHI65547:SHJ65547 SRE65547:SRF65547 TBA65547:TBB65547 TKW65547:TKX65547 TUS65547:TUT65547 UEO65547:UEP65547 UOK65547:UOL65547 UYG65547:UYH65547 VIC65547:VID65547 VRY65547:VRZ65547 WBU65547:WBV65547 WLQ65547:WLR65547 WVM65547:WVN65547 E131083:F131083 JA131083:JB131083 SW131083:SX131083 ACS131083:ACT131083 AMO131083:AMP131083 AWK131083:AWL131083 BGG131083:BGH131083 BQC131083:BQD131083 BZY131083:BZZ131083 CJU131083:CJV131083 CTQ131083:CTR131083 DDM131083:DDN131083 DNI131083:DNJ131083 DXE131083:DXF131083 EHA131083:EHB131083 EQW131083:EQX131083 FAS131083:FAT131083 FKO131083:FKP131083 FUK131083:FUL131083 GEG131083:GEH131083 GOC131083:GOD131083 GXY131083:GXZ131083 HHU131083:HHV131083 HRQ131083:HRR131083 IBM131083:IBN131083 ILI131083:ILJ131083 IVE131083:IVF131083 JFA131083:JFB131083 JOW131083:JOX131083 JYS131083:JYT131083 KIO131083:KIP131083 KSK131083:KSL131083 LCG131083:LCH131083 LMC131083:LMD131083 LVY131083:LVZ131083 MFU131083:MFV131083 MPQ131083:MPR131083 MZM131083:MZN131083 NJI131083:NJJ131083 NTE131083:NTF131083 ODA131083:ODB131083 OMW131083:OMX131083 OWS131083:OWT131083 PGO131083:PGP131083 PQK131083:PQL131083 QAG131083:QAH131083 QKC131083:QKD131083 QTY131083:QTZ131083 RDU131083:RDV131083 RNQ131083:RNR131083 RXM131083:RXN131083 SHI131083:SHJ131083 SRE131083:SRF131083 TBA131083:TBB131083 TKW131083:TKX131083 TUS131083:TUT131083 UEO131083:UEP131083 UOK131083:UOL131083 UYG131083:UYH131083 VIC131083:VID131083 VRY131083:VRZ131083 WBU131083:WBV131083 WLQ131083:WLR131083 WVM131083:WVN131083 E196619:F196619 JA196619:JB196619 SW196619:SX196619 ACS196619:ACT196619 AMO196619:AMP196619 AWK196619:AWL196619 BGG196619:BGH196619 BQC196619:BQD196619 BZY196619:BZZ196619 CJU196619:CJV196619 CTQ196619:CTR196619 DDM196619:DDN196619 DNI196619:DNJ196619 DXE196619:DXF196619 EHA196619:EHB196619 EQW196619:EQX196619 FAS196619:FAT196619 FKO196619:FKP196619 FUK196619:FUL196619 GEG196619:GEH196619 GOC196619:GOD196619 GXY196619:GXZ196619 HHU196619:HHV196619 HRQ196619:HRR196619 IBM196619:IBN196619 ILI196619:ILJ196619 IVE196619:IVF196619 JFA196619:JFB196619 JOW196619:JOX196619 JYS196619:JYT196619 KIO196619:KIP196619 KSK196619:KSL196619 LCG196619:LCH196619 LMC196619:LMD196619 LVY196619:LVZ196619 MFU196619:MFV196619 MPQ196619:MPR196619 MZM196619:MZN196619 NJI196619:NJJ196619 NTE196619:NTF196619 ODA196619:ODB196619 OMW196619:OMX196619 OWS196619:OWT196619 PGO196619:PGP196619 PQK196619:PQL196619 QAG196619:QAH196619 QKC196619:QKD196619 QTY196619:QTZ196619 RDU196619:RDV196619 RNQ196619:RNR196619 RXM196619:RXN196619 SHI196619:SHJ196619 SRE196619:SRF196619 TBA196619:TBB196619 TKW196619:TKX196619 TUS196619:TUT196619 UEO196619:UEP196619 UOK196619:UOL196619 UYG196619:UYH196619 VIC196619:VID196619 VRY196619:VRZ196619 WBU196619:WBV196619 WLQ196619:WLR196619 WVM196619:WVN196619 E262155:F262155 JA262155:JB262155 SW262155:SX262155 ACS262155:ACT262155 AMO262155:AMP262155 AWK262155:AWL262155 BGG262155:BGH262155 BQC262155:BQD262155 BZY262155:BZZ262155 CJU262155:CJV262155 CTQ262155:CTR262155 DDM262155:DDN262155 DNI262155:DNJ262155 DXE262155:DXF262155 EHA262155:EHB262155 EQW262155:EQX262155 FAS262155:FAT262155 FKO262155:FKP262155 FUK262155:FUL262155 GEG262155:GEH262155 GOC262155:GOD262155 GXY262155:GXZ262155 HHU262155:HHV262155 HRQ262155:HRR262155 IBM262155:IBN262155 ILI262155:ILJ262155 IVE262155:IVF262155 JFA262155:JFB262155 JOW262155:JOX262155 JYS262155:JYT262155 KIO262155:KIP262155 KSK262155:KSL262155 LCG262155:LCH262155 LMC262155:LMD262155 LVY262155:LVZ262155 MFU262155:MFV262155 MPQ262155:MPR262155 MZM262155:MZN262155 NJI262155:NJJ262155 NTE262155:NTF262155 ODA262155:ODB262155 OMW262155:OMX262155 OWS262155:OWT262155 PGO262155:PGP262155 PQK262155:PQL262155 QAG262155:QAH262155 QKC262155:QKD262155 QTY262155:QTZ262155 RDU262155:RDV262155 RNQ262155:RNR262155 RXM262155:RXN262155 SHI262155:SHJ262155 SRE262155:SRF262155 TBA262155:TBB262155 TKW262155:TKX262155 TUS262155:TUT262155 UEO262155:UEP262155 UOK262155:UOL262155 UYG262155:UYH262155 VIC262155:VID262155 VRY262155:VRZ262155 WBU262155:WBV262155 WLQ262155:WLR262155 WVM262155:WVN262155 E327691:F327691 JA327691:JB327691 SW327691:SX327691 ACS327691:ACT327691 AMO327691:AMP327691 AWK327691:AWL327691 BGG327691:BGH327691 BQC327691:BQD327691 BZY327691:BZZ327691 CJU327691:CJV327691 CTQ327691:CTR327691 DDM327691:DDN327691 DNI327691:DNJ327691 DXE327691:DXF327691 EHA327691:EHB327691 EQW327691:EQX327691 FAS327691:FAT327691 FKO327691:FKP327691 FUK327691:FUL327691 GEG327691:GEH327691 GOC327691:GOD327691 GXY327691:GXZ327691 HHU327691:HHV327691 HRQ327691:HRR327691 IBM327691:IBN327691 ILI327691:ILJ327691 IVE327691:IVF327691 JFA327691:JFB327691 JOW327691:JOX327691 JYS327691:JYT327691 KIO327691:KIP327691 KSK327691:KSL327691 LCG327691:LCH327691 LMC327691:LMD327691 LVY327691:LVZ327691 MFU327691:MFV327691 MPQ327691:MPR327691 MZM327691:MZN327691 NJI327691:NJJ327691 NTE327691:NTF327691 ODA327691:ODB327691 OMW327691:OMX327691 OWS327691:OWT327691 PGO327691:PGP327691 PQK327691:PQL327691 QAG327691:QAH327691 QKC327691:QKD327691 QTY327691:QTZ327691 RDU327691:RDV327691 RNQ327691:RNR327691 RXM327691:RXN327691 SHI327691:SHJ327691 SRE327691:SRF327691 TBA327691:TBB327691 TKW327691:TKX327691 TUS327691:TUT327691 UEO327691:UEP327691 UOK327691:UOL327691 UYG327691:UYH327691 VIC327691:VID327691 VRY327691:VRZ327691 WBU327691:WBV327691 WLQ327691:WLR327691 WVM327691:WVN327691 E393227:F393227 JA393227:JB393227 SW393227:SX393227 ACS393227:ACT393227 AMO393227:AMP393227 AWK393227:AWL393227 BGG393227:BGH393227 BQC393227:BQD393227 BZY393227:BZZ393227 CJU393227:CJV393227 CTQ393227:CTR393227 DDM393227:DDN393227 DNI393227:DNJ393227 DXE393227:DXF393227 EHA393227:EHB393227 EQW393227:EQX393227 FAS393227:FAT393227 FKO393227:FKP393227 FUK393227:FUL393227 GEG393227:GEH393227 GOC393227:GOD393227 GXY393227:GXZ393227 HHU393227:HHV393227 HRQ393227:HRR393227 IBM393227:IBN393227 ILI393227:ILJ393227 IVE393227:IVF393227 JFA393227:JFB393227 JOW393227:JOX393227 JYS393227:JYT393227 KIO393227:KIP393227 KSK393227:KSL393227 LCG393227:LCH393227 LMC393227:LMD393227 LVY393227:LVZ393227 MFU393227:MFV393227 MPQ393227:MPR393227 MZM393227:MZN393227 NJI393227:NJJ393227 NTE393227:NTF393227 ODA393227:ODB393227 OMW393227:OMX393227 OWS393227:OWT393227 PGO393227:PGP393227 PQK393227:PQL393227 QAG393227:QAH393227 QKC393227:QKD393227 QTY393227:QTZ393227 RDU393227:RDV393227 RNQ393227:RNR393227 RXM393227:RXN393227 SHI393227:SHJ393227 SRE393227:SRF393227 TBA393227:TBB393227 TKW393227:TKX393227 TUS393227:TUT393227 UEO393227:UEP393227 UOK393227:UOL393227 UYG393227:UYH393227 VIC393227:VID393227 VRY393227:VRZ393227 WBU393227:WBV393227 WLQ393227:WLR393227 WVM393227:WVN393227 E458763:F458763 JA458763:JB458763 SW458763:SX458763 ACS458763:ACT458763 AMO458763:AMP458763 AWK458763:AWL458763 BGG458763:BGH458763 BQC458763:BQD458763 BZY458763:BZZ458763 CJU458763:CJV458763 CTQ458763:CTR458763 DDM458763:DDN458763 DNI458763:DNJ458763 DXE458763:DXF458763 EHA458763:EHB458763 EQW458763:EQX458763 FAS458763:FAT458763 FKO458763:FKP458763 FUK458763:FUL458763 GEG458763:GEH458763 GOC458763:GOD458763 GXY458763:GXZ458763 HHU458763:HHV458763 HRQ458763:HRR458763 IBM458763:IBN458763 ILI458763:ILJ458763 IVE458763:IVF458763 JFA458763:JFB458763 JOW458763:JOX458763 JYS458763:JYT458763 KIO458763:KIP458763 KSK458763:KSL458763 LCG458763:LCH458763 LMC458763:LMD458763 LVY458763:LVZ458763 MFU458763:MFV458763 MPQ458763:MPR458763 MZM458763:MZN458763 NJI458763:NJJ458763 NTE458763:NTF458763 ODA458763:ODB458763 OMW458763:OMX458763 OWS458763:OWT458763 PGO458763:PGP458763 PQK458763:PQL458763 QAG458763:QAH458763 QKC458763:QKD458763 QTY458763:QTZ458763 RDU458763:RDV458763 RNQ458763:RNR458763 RXM458763:RXN458763 SHI458763:SHJ458763 SRE458763:SRF458763 TBA458763:TBB458763 TKW458763:TKX458763 TUS458763:TUT458763 UEO458763:UEP458763 UOK458763:UOL458763 UYG458763:UYH458763 VIC458763:VID458763 VRY458763:VRZ458763 WBU458763:WBV458763 WLQ458763:WLR458763 WVM458763:WVN458763 E524299:F524299 JA524299:JB524299 SW524299:SX524299 ACS524299:ACT524299 AMO524299:AMP524299 AWK524299:AWL524299 BGG524299:BGH524299 BQC524299:BQD524299 BZY524299:BZZ524299 CJU524299:CJV524299 CTQ524299:CTR524299 DDM524299:DDN524299 DNI524299:DNJ524299 DXE524299:DXF524299 EHA524299:EHB524299 EQW524299:EQX524299 FAS524299:FAT524299 FKO524299:FKP524299 FUK524299:FUL524299 GEG524299:GEH524299 GOC524299:GOD524299 GXY524299:GXZ524299 HHU524299:HHV524299 HRQ524299:HRR524299 IBM524299:IBN524299 ILI524299:ILJ524299 IVE524299:IVF524299 JFA524299:JFB524299 JOW524299:JOX524299 JYS524299:JYT524299 KIO524299:KIP524299 KSK524299:KSL524299 LCG524299:LCH524299 LMC524299:LMD524299 LVY524299:LVZ524299 MFU524299:MFV524299 MPQ524299:MPR524299 MZM524299:MZN524299 NJI524299:NJJ524299 NTE524299:NTF524299 ODA524299:ODB524299 OMW524299:OMX524299 OWS524299:OWT524299 PGO524299:PGP524299 PQK524299:PQL524299 QAG524299:QAH524299 QKC524299:QKD524299 QTY524299:QTZ524299 RDU524299:RDV524299 RNQ524299:RNR524299 RXM524299:RXN524299 SHI524299:SHJ524299 SRE524299:SRF524299 TBA524299:TBB524299 TKW524299:TKX524299 TUS524299:TUT524299 UEO524299:UEP524299 UOK524299:UOL524299 UYG524299:UYH524299 VIC524299:VID524299 VRY524299:VRZ524299 WBU524299:WBV524299 WLQ524299:WLR524299 WVM524299:WVN524299 E589835:F589835 JA589835:JB589835 SW589835:SX589835 ACS589835:ACT589835 AMO589835:AMP589835 AWK589835:AWL589835 BGG589835:BGH589835 BQC589835:BQD589835 BZY589835:BZZ589835 CJU589835:CJV589835 CTQ589835:CTR589835 DDM589835:DDN589835 DNI589835:DNJ589835 DXE589835:DXF589835 EHA589835:EHB589835 EQW589835:EQX589835 FAS589835:FAT589835 FKO589835:FKP589835 FUK589835:FUL589835 GEG589835:GEH589835 GOC589835:GOD589835 GXY589835:GXZ589835 HHU589835:HHV589835 HRQ589835:HRR589835 IBM589835:IBN589835 ILI589835:ILJ589835 IVE589835:IVF589835 JFA589835:JFB589835 JOW589835:JOX589835 JYS589835:JYT589835 KIO589835:KIP589835 KSK589835:KSL589835 LCG589835:LCH589835 LMC589835:LMD589835 LVY589835:LVZ589835 MFU589835:MFV589835 MPQ589835:MPR589835 MZM589835:MZN589835 NJI589835:NJJ589835 NTE589835:NTF589835 ODA589835:ODB589835 OMW589835:OMX589835 OWS589835:OWT589835 PGO589835:PGP589835 PQK589835:PQL589835 QAG589835:QAH589835 QKC589835:QKD589835 QTY589835:QTZ589835 RDU589835:RDV589835 RNQ589835:RNR589835 RXM589835:RXN589835 SHI589835:SHJ589835 SRE589835:SRF589835 TBA589835:TBB589835 TKW589835:TKX589835 TUS589835:TUT589835 UEO589835:UEP589835 UOK589835:UOL589835 UYG589835:UYH589835 VIC589835:VID589835 VRY589835:VRZ589835 WBU589835:WBV589835 WLQ589835:WLR589835 WVM589835:WVN589835 E655371:F655371 JA655371:JB655371 SW655371:SX655371 ACS655371:ACT655371 AMO655371:AMP655371 AWK655371:AWL655371 BGG655371:BGH655371 BQC655371:BQD655371 BZY655371:BZZ655371 CJU655371:CJV655371 CTQ655371:CTR655371 DDM655371:DDN655371 DNI655371:DNJ655371 DXE655371:DXF655371 EHA655371:EHB655371 EQW655371:EQX655371 FAS655371:FAT655371 FKO655371:FKP655371 FUK655371:FUL655371 GEG655371:GEH655371 GOC655371:GOD655371 GXY655371:GXZ655371 HHU655371:HHV655371 HRQ655371:HRR655371 IBM655371:IBN655371 ILI655371:ILJ655371 IVE655371:IVF655371 JFA655371:JFB655371 JOW655371:JOX655371 JYS655371:JYT655371 KIO655371:KIP655371 KSK655371:KSL655371 LCG655371:LCH655371 LMC655371:LMD655371 LVY655371:LVZ655371 MFU655371:MFV655371 MPQ655371:MPR655371 MZM655371:MZN655371 NJI655371:NJJ655371 NTE655371:NTF655371 ODA655371:ODB655371 OMW655371:OMX655371 OWS655371:OWT655371 PGO655371:PGP655371 PQK655371:PQL655371 QAG655371:QAH655371 QKC655371:QKD655371 QTY655371:QTZ655371 RDU655371:RDV655371 RNQ655371:RNR655371 RXM655371:RXN655371 SHI655371:SHJ655371 SRE655371:SRF655371 TBA655371:TBB655371 TKW655371:TKX655371 TUS655371:TUT655371 UEO655371:UEP655371 UOK655371:UOL655371 UYG655371:UYH655371 VIC655371:VID655371 VRY655371:VRZ655371 WBU655371:WBV655371 WLQ655371:WLR655371 WVM655371:WVN655371 E720907:F720907 JA720907:JB720907 SW720907:SX720907 ACS720907:ACT720907 AMO720907:AMP720907 AWK720907:AWL720907 BGG720907:BGH720907 BQC720907:BQD720907 BZY720907:BZZ720907 CJU720907:CJV720907 CTQ720907:CTR720907 DDM720907:DDN720907 DNI720907:DNJ720907 DXE720907:DXF720907 EHA720907:EHB720907 EQW720907:EQX720907 FAS720907:FAT720907 FKO720907:FKP720907 FUK720907:FUL720907 GEG720907:GEH720907 GOC720907:GOD720907 GXY720907:GXZ720907 HHU720907:HHV720907 HRQ720907:HRR720907 IBM720907:IBN720907 ILI720907:ILJ720907 IVE720907:IVF720907 JFA720907:JFB720907 JOW720907:JOX720907 JYS720907:JYT720907 KIO720907:KIP720907 KSK720907:KSL720907 LCG720907:LCH720907 LMC720907:LMD720907 LVY720907:LVZ720907 MFU720907:MFV720907 MPQ720907:MPR720907 MZM720907:MZN720907 NJI720907:NJJ720907 NTE720907:NTF720907 ODA720907:ODB720907 OMW720907:OMX720907 OWS720907:OWT720907 PGO720907:PGP720907 PQK720907:PQL720907 QAG720907:QAH720907 QKC720907:QKD720907 QTY720907:QTZ720907 RDU720907:RDV720907 RNQ720907:RNR720907 RXM720907:RXN720907 SHI720907:SHJ720907 SRE720907:SRF720907 TBA720907:TBB720907 TKW720907:TKX720907 TUS720907:TUT720907 UEO720907:UEP720907 UOK720907:UOL720907 UYG720907:UYH720907 VIC720907:VID720907 VRY720907:VRZ720907 WBU720907:WBV720907 WLQ720907:WLR720907 WVM720907:WVN720907 E786443:F786443 JA786443:JB786443 SW786443:SX786443 ACS786443:ACT786443 AMO786443:AMP786443 AWK786443:AWL786443 BGG786443:BGH786443 BQC786443:BQD786443 BZY786443:BZZ786443 CJU786443:CJV786443 CTQ786443:CTR786443 DDM786443:DDN786443 DNI786443:DNJ786443 DXE786443:DXF786443 EHA786443:EHB786443 EQW786443:EQX786443 FAS786443:FAT786443 FKO786443:FKP786443 FUK786443:FUL786443 GEG786443:GEH786443 GOC786443:GOD786443 GXY786443:GXZ786443 HHU786443:HHV786443 HRQ786443:HRR786443 IBM786443:IBN786443 ILI786443:ILJ786443 IVE786443:IVF786443 JFA786443:JFB786443 JOW786443:JOX786443 JYS786443:JYT786443 KIO786443:KIP786443 KSK786443:KSL786443 LCG786443:LCH786443 LMC786443:LMD786443 LVY786443:LVZ786443 MFU786443:MFV786443 MPQ786443:MPR786443 MZM786443:MZN786443 NJI786443:NJJ786443 NTE786443:NTF786443 ODA786443:ODB786443 OMW786443:OMX786443 OWS786443:OWT786443 PGO786443:PGP786443 PQK786443:PQL786443 QAG786443:QAH786443 QKC786443:QKD786443 QTY786443:QTZ786443 RDU786443:RDV786443 RNQ786443:RNR786443 RXM786443:RXN786443 SHI786443:SHJ786443 SRE786443:SRF786443 TBA786443:TBB786443 TKW786443:TKX786443 TUS786443:TUT786443 UEO786443:UEP786443 UOK786443:UOL786443 UYG786443:UYH786443 VIC786443:VID786443 VRY786443:VRZ786443 WBU786443:WBV786443 WLQ786443:WLR786443 WVM786443:WVN786443 E851979:F851979 JA851979:JB851979 SW851979:SX851979 ACS851979:ACT851979 AMO851979:AMP851979 AWK851979:AWL851979 BGG851979:BGH851979 BQC851979:BQD851979 BZY851979:BZZ851979 CJU851979:CJV851979 CTQ851979:CTR851979 DDM851979:DDN851979 DNI851979:DNJ851979 DXE851979:DXF851979 EHA851979:EHB851979 EQW851979:EQX851979 FAS851979:FAT851979 FKO851979:FKP851979 FUK851979:FUL851979 GEG851979:GEH851979 GOC851979:GOD851979 GXY851979:GXZ851979 HHU851979:HHV851979 HRQ851979:HRR851979 IBM851979:IBN851979 ILI851979:ILJ851979 IVE851979:IVF851979 JFA851979:JFB851979 JOW851979:JOX851979 JYS851979:JYT851979 KIO851979:KIP851979 KSK851979:KSL851979 LCG851979:LCH851979 LMC851979:LMD851979 LVY851979:LVZ851979 MFU851979:MFV851979 MPQ851979:MPR851979 MZM851979:MZN851979 NJI851979:NJJ851979 NTE851979:NTF851979 ODA851979:ODB851979 OMW851979:OMX851979 OWS851979:OWT851979 PGO851979:PGP851979 PQK851979:PQL851979 QAG851979:QAH851979 QKC851979:QKD851979 QTY851979:QTZ851979 RDU851979:RDV851979 RNQ851979:RNR851979 RXM851979:RXN851979 SHI851979:SHJ851979 SRE851979:SRF851979 TBA851979:TBB851979 TKW851979:TKX851979 TUS851979:TUT851979 UEO851979:UEP851979 UOK851979:UOL851979 UYG851979:UYH851979 VIC851979:VID851979 VRY851979:VRZ851979 WBU851979:WBV851979 WLQ851979:WLR851979 WVM851979:WVN851979 E917515:F917515 JA917515:JB917515 SW917515:SX917515 ACS917515:ACT917515 AMO917515:AMP917515 AWK917515:AWL917515 BGG917515:BGH917515 BQC917515:BQD917515 BZY917515:BZZ917515 CJU917515:CJV917515 CTQ917515:CTR917515 DDM917515:DDN917515 DNI917515:DNJ917515 DXE917515:DXF917515 EHA917515:EHB917515 EQW917515:EQX917515 FAS917515:FAT917515 FKO917515:FKP917515 FUK917515:FUL917515 GEG917515:GEH917515 GOC917515:GOD917515 GXY917515:GXZ917515 HHU917515:HHV917515 HRQ917515:HRR917515 IBM917515:IBN917515 ILI917515:ILJ917515 IVE917515:IVF917515 JFA917515:JFB917515 JOW917515:JOX917515 JYS917515:JYT917515 KIO917515:KIP917515 KSK917515:KSL917515 LCG917515:LCH917515 LMC917515:LMD917515 LVY917515:LVZ917515 MFU917515:MFV917515 MPQ917515:MPR917515 MZM917515:MZN917515 NJI917515:NJJ917515 NTE917515:NTF917515 ODA917515:ODB917515 OMW917515:OMX917515 OWS917515:OWT917515 PGO917515:PGP917515 PQK917515:PQL917515 QAG917515:QAH917515 QKC917515:QKD917515 QTY917515:QTZ917515 RDU917515:RDV917515 RNQ917515:RNR917515 RXM917515:RXN917515 SHI917515:SHJ917515 SRE917515:SRF917515 TBA917515:TBB917515 TKW917515:TKX917515 TUS917515:TUT917515 UEO917515:UEP917515 UOK917515:UOL917515 UYG917515:UYH917515 VIC917515:VID917515 VRY917515:VRZ917515 WBU917515:WBV917515 WLQ917515:WLR917515 WVM917515:WVN917515 E983051:F983051 JA983051:JB983051 SW983051:SX983051 ACS983051:ACT983051 AMO983051:AMP983051 AWK983051:AWL983051 BGG983051:BGH983051 BQC983051:BQD983051 BZY983051:BZZ983051 CJU983051:CJV983051 CTQ983051:CTR983051 DDM983051:DDN983051 DNI983051:DNJ983051 DXE983051:DXF983051 EHA983051:EHB983051 EQW983051:EQX983051 FAS983051:FAT983051 FKO983051:FKP983051 FUK983051:FUL983051 GEG983051:GEH983051 GOC983051:GOD983051 GXY983051:GXZ983051 HHU983051:HHV983051 HRQ983051:HRR983051 IBM983051:IBN983051 ILI983051:ILJ983051 IVE983051:IVF983051 JFA983051:JFB983051 JOW983051:JOX983051 JYS983051:JYT983051 KIO983051:KIP983051 KSK983051:KSL983051 LCG983051:LCH983051 LMC983051:LMD983051 LVY983051:LVZ983051 MFU983051:MFV983051 MPQ983051:MPR983051 MZM983051:MZN983051 NJI983051:NJJ983051 NTE983051:NTF983051 ODA983051:ODB983051 OMW983051:OMX983051 OWS983051:OWT983051 PGO983051:PGP983051 PQK983051:PQL983051 QAG983051:QAH983051 QKC983051:QKD983051 QTY983051:QTZ983051 RDU983051:RDV983051 RNQ983051:RNR983051 RXM983051:RXN983051 SHI983051:SHJ983051 SRE983051:SRF983051 TBA983051:TBB983051 TKW983051:TKX983051 TUS983051:TUT983051 UEO983051:UEP983051 UOK983051:UOL983051 UYG983051:UYH983051 VIC983051:VID983051 VRY983051:VRZ983051 WBU983051:WBV983051 WLQ983051:WLR983051 WVM983051:WVN983051 E15:F15 JA15:JB15 SW15:SX15 ACS15:ACT15 AMO15:AMP15 AWK15:AWL15 BGG15:BGH15 BQC15:BQD15 BZY15:BZZ15 CJU15:CJV15 CTQ15:CTR15 DDM15:DDN15 DNI15:DNJ15 DXE15:DXF15 EHA15:EHB15 EQW15:EQX15 FAS15:FAT15 FKO15:FKP15 FUK15:FUL15 GEG15:GEH15 GOC15:GOD15 GXY15:GXZ15 HHU15:HHV15 HRQ15:HRR15 IBM15:IBN15 ILI15:ILJ15 IVE15:IVF15 JFA15:JFB15 JOW15:JOX15 JYS15:JYT15 KIO15:KIP15 KSK15:KSL15 LCG15:LCH15 LMC15:LMD15 LVY15:LVZ15 MFU15:MFV15 MPQ15:MPR15 MZM15:MZN15 NJI15:NJJ15 NTE15:NTF15 ODA15:ODB15 OMW15:OMX15 OWS15:OWT15 PGO15:PGP15 PQK15:PQL15 QAG15:QAH15 QKC15:QKD15 QTY15:QTZ15 RDU15:RDV15 RNQ15:RNR15 RXM15:RXN15 SHI15:SHJ15 SRE15:SRF15 TBA15:TBB15 TKW15:TKX15 TUS15:TUT15 UEO15:UEP15 UOK15:UOL15 UYG15:UYH15 VIC15:VID15 VRY15:VRZ15 WBU15:WBV15 WLQ15:WLR15 WVM15:WVN15 E65551:F65551 JA65551:JB65551 SW65551:SX65551 ACS65551:ACT65551 AMO65551:AMP65551 AWK65551:AWL65551 BGG65551:BGH65551 BQC65551:BQD65551 BZY65551:BZZ65551 CJU65551:CJV65551 CTQ65551:CTR65551 DDM65551:DDN65551 DNI65551:DNJ65551 DXE65551:DXF65551 EHA65551:EHB65551 EQW65551:EQX65551 FAS65551:FAT65551 FKO65551:FKP65551 FUK65551:FUL65551 GEG65551:GEH65551 GOC65551:GOD65551 GXY65551:GXZ65551 HHU65551:HHV65551 HRQ65551:HRR65551 IBM65551:IBN65551 ILI65551:ILJ65551 IVE65551:IVF65551 JFA65551:JFB65551 JOW65551:JOX65551 JYS65551:JYT65551 KIO65551:KIP65551 KSK65551:KSL65551 LCG65551:LCH65551 LMC65551:LMD65551 LVY65551:LVZ65551 MFU65551:MFV65551 MPQ65551:MPR65551 MZM65551:MZN65551 NJI65551:NJJ65551 NTE65551:NTF65551 ODA65551:ODB65551 OMW65551:OMX65551 OWS65551:OWT65551 PGO65551:PGP65551 PQK65551:PQL65551 QAG65551:QAH65551 QKC65551:QKD65551 QTY65551:QTZ65551 RDU65551:RDV65551 RNQ65551:RNR65551 RXM65551:RXN65551 SHI65551:SHJ65551 SRE65551:SRF65551 TBA65551:TBB65551 TKW65551:TKX65551 TUS65551:TUT65551 UEO65551:UEP65551 UOK65551:UOL65551 UYG65551:UYH65551 VIC65551:VID65551 VRY65551:VRZ65551 WBU65551:WBV65551 WLQ65551:WLR65551 WVM65551:WVN65551 E131087:F131087 JA131087:JB131087 SW131087:SX131087 ACS131087:ACT131087 AMO131087:AMP131087 AWK131087:AWL131087 BGG131087:BGH131087 BQC131087:BQD131087 BZY131087:BZZ131087 CJU131087:CJV131087 CTQ131087:CTR131087 DDM131087:DDN131087 DNI131087:DNJ131087 DXE131087:DXF131087 EHA131087:EHB131087 EQW131087:EQX131087 FAS131087:FAT131087 FKO131087:FKP131087 FUK131087:FUL131087 GEG131087:GEH131087 GOC131087:GOD131087 GXY131087:GXZ131087 HHU131087:HHV131087 HRQ131087:HRR131087 IBM131087:IBN131087 ILI131087:ILJ131087 IVE131087:IVF131087 JFA131087:JFB131087 JOW131087:JOX131087 JYS131087:JYT131087 KIO131087:KIP131087 KSK131087:KSL131087 LCG131087:LCH131087 LMC131087:LMD131087 LVY131087:LVZ131087 MFU131087:MFV131087 MPQ131087:MPR131087 MZM131087:MZN131087 NJI131087:NJJ131087 NTE131087:NTF131087 ODA131087:ODB131087 OMW131087:OMX131087 OWS131087:OWT131087 PGO131087:PGP131087 PQK131087:PQL131087 QAG131087:QAH131087 QKC131087:QKD131087 QTY131087:QTZ131087 RDU131087:RDV131087 RNQ131087:RNR131087 RXM131087:RXN131087 SHI131087:SHJ131087 SRE131087:SRF131087 TBA131087:TBB131087 TKW131087:TKX131087 TUS131087:TUT131087 UEO131087:UEP131087 UOK131087:UOL131087 UYG131087:UYH131087 VIC131087:VID131087 VRY131087:VRZ131087 WBU131087:WBV131087 WLQ131087:WLR131087 WVM131087:WVN131087 E196623:F196623 JA196623:JB196623 SW196623:SX196623 ACS196623:ACT196623 AMO196623:AMP196623 AWK196623:AWL196623 BGG196623:BGH196623 BQC196623:BQD196623 BZY196623:BZZ196623 CJU196623:CJV196623 CTQ196623:CTR196623 DDM196623:DDN196623 DNI196623:DNJ196623 DXE196623:DXF196623 EHA196623:EHB196623 EQW196623:EQX196623 FAS196623:FAT196623 FKO196623:FKP196623 FUK196623:FUL196623 GEG196623:GEH196623 GOC196623:GOD196623 GXY196623:GXZ196623 HHU196623:HHV196623 HRQ196623:HRR196623 IBM196623:IBN196623 ILI196623:ILJ196623 IVE196623:IVF196623 JFA196623:JFB196623 JOW196623:JOX196623 JYS196623:JYT196623 KIO196623:KIP196623 KSK196623:KSL196623 LCG196623:LCH196623 LMC196623:LMD196623 LVY196623:LVZ196623 MFU196623:MFV196623 MPQ196623:MPR196623 MZM196623:MZN196623 NJI196623:NJJ196623 NTE196623:NTF196623 ODA196623:ODB196623 OMW196623:OMX196623 OWS196623:OWT196623 PGO196623:PGP196623 PQK196623:PQL196623 QAG196623:QAH196623 QKC196623:QKD196623 QTY196623:QTZ196623 RDU196623:RDV196623 RNQ196623:RNR196623 RXM196623:RXN196623 SHI196623:SHJ196623 SRE196623:SRF196623 TBA196623:TBB196623 TKW196623:TKX196623 TUS196623:TUT196623 UEO196623:UEP196623 UOK196623:UOL196623 UYG196623:UYH196623 VIC196623:VID196623 VRY196623:VRZ196623 WBU196623:WBV196623 WLQ196623:WLR196623 WVM196623:WVN196623 E262159:F262159 JA262159:JB262159 SW262159:SX262159 ACS262159:ACT262159 AMO262159:AMP262159 AWK262159:AWL262159 BGG262159:BGH262159 BQC262159:BQD262159 BZY262159:BZZ262159 CJU262159:CJV262159 CTQ262159:CTR262159 DDM262159:DDN262159 DNI262159:DNJ262159 DXE262159:DXF262159 EHA262159:EHB262159 EQW262159:EQX262159 FAS262159:FAT262159 FKO262159:FKP262159 FUK262159:FUL262159 GEG262159:GEH262159 GOC262159:GOD262159 GXY262159:GXZ262159 HHU262159:HHV262159 HRQ262159:HRR262159 IBM262159:IBN262159 ILI262159:ILJ262159 IVE262159:IVF262159 JFA262159:JFB262159 JOW262159:JOX262159 JYS262159:JYT262159 KIO262159:KIP262159 KSK262159:KSL262159 LCG262159:LCH262159 LMC262159:LMD262159 LVY262159:LVZ262159 MFU262159:MFV262159 MPQ262159:MPR262159 MZM262159:MZN262159 NJI262159:NJJ262159 NTE262159:NTF262159 ODA262159:ODB262159 OMW262159:OMX262159 OWS262159:OWT262159 PGO262159:PGP262159 PQK262159:PQL262159 QAG262159:QAH262159 QKC262159:QKD262159 QTY262159:QTZ262159 RDU262159:RDV262159 RNQ262159:RNR262159 RXM262159:RXN262159 SHI262159:SHJ262159 SRE262159:SRF262159 TBA262159:TBB262159 TKW262159:TKX262159 TUS262159:TUT262159 UEO262159:UEP262159 UOK262159:UOL262159 UYG262159:UYH262159 VIC262159:VID262159 VRY262159:VRZ262159 WBU262159:WBV262159 WLQ262159:WLR262159 WVM262159:WVN262159 E327695:F327695 JA327695:JB327695 SW327695:SX327695 ACS327695:ACT327695 AMO327695:AMP327695 AWK327695:AWL327695 BGG327695:BGH327695 BQC327695:BQD327695 BZY327695:BZZ327695 CJU327695:CJV327695 CTQ327695:CTR327695 DDM327695:DDN327695 DNI327695:DNJ327695 DXE327695:DXF327695 EHA327695:EHB327695 EQW327695:EQX327695 FAS327695:FAT327695 FKO327695:FKP327695 FUK327695:FUL327695 GEG327695:GEH327695 GOC327695:GOD327695 GXY327695:GXZ327695 HHU327695:HHV327695 HRQ327695:HRR327695 IBM327695:IBN327695 ILI327695:ILJ327695 IVE327695:IVF327695 JFA327695:JFB327695 JOW327695:JOX327695 JYS327695:JYT327695 KIO327695:KIP327695 KSK327695:KSL327695 LCG327695:LCH327695 LMC327695:LMD327695 LVY327695:LVZ327695 MFU327695:MFV327695 MPQ327695:MPR327695 MZM327695:MZN327695 NJI327695:NJJ327695 NTE327695:NTF327695 ODA327695:ODB327695 OMW327695:OMX327695 OWS327695:OWT327695 PGO327695:PGP327695 PQK327695:PQL327695 QAG327695:QAH327695 QKC327695:QKD327695 QTY327695:QTZ327695 RDU327695:RDV327695 RNQ327695:RNR327695 RXM327695:RXN327695 SHI327695:SHJ327695 SRE327695:SRF327695 TBA327695:TBB327695 TKW327695:TKX327695 TUS327695:TUT327695 UEO327695:UEP327695 UOK327695:UOL327695 UYG327695:UYH327695 VIC327695:VID327695 VRY327695:VRZ327695 WBU327695:WBV327695 WLQ327695:WLR327695 WVM327695:WVN327695 E393231:F393231 JA393231:JB393231 SW393231:SX393231 ACS393231:ACT393231 AMO393231:AMP393231 AWK393231:AWL393231 BGG393231:BGH393231 BQC393231:BQD393231 BZY393231:BZZ393231 CJU393231:CJV393231 CTQ393231:CTR393231 DDM393231:DDN393231 DNI393231:DNJ393231 DXE393231:DXF393231 EHA393231:EHB393231 EQW393231:EQX393231 FAS393231:FAT393231 FKO393231:FKP393231 FUK393231:FUL393231 GEG393231:GEH393231 GOC393231:GOD393231 GXY393231:GXZ393231 HHU393231:HHV393231 HRQ393231:HRR393231 IBM393231:IBN393231 ILI393231:ILJ393231 IVE393231:IVF393231 JFA393231:JFB393231 JOW393231:JOX393231 JYS393231:JYT393231 KIO393231:KIP393231 KSK393231:KSL393231 LCG393231:LCH393231 LMC393231:LMD393231 LVY393231:LVZ393231 MFU393231:MFV393231 MPQ393231:MPR393231 MZM393231:MZN393231 NJI393231:NJJ393231 NTE393231:NTF393231 ODA393231:ODB393231 OMW393231:OMX393231 OWS393231:OWT393231 PGO393231:PGP393231 PQK393231:PQL393231 QAG393231:QAH393231 QKC393231:QKD393231 QTY393231:QTZ393231 RDU393231:RDV393231 RNQ393231:RNR393231 RXM393231:RXN393231 SHI393231:SHJ393231 SRE393231:SRF393231 TBA393231:TBB393231 TKW393231:TKX393231 TUS393231:TUT393231 UEO393231:UEP393231 UOK393231:UOL393231 UYG393231:UYH393231 VIC393231:VID393231 VRY393231:VRZ393231 WBU393231:WBV393231 WLQ393231:WLR393231 WVM393231:WVN393231 E458767:F458767 JA458767:JB458767 SW458767:SX458767 ACS458767:ACT458767 AMO458767:AMP458767 AWK458767:AWL458767 BGG458767:BGH458767 BQC458767:BQD458767 BZY458767:BZZ458767 CJU458767:CJV458767 CTQ458767:CTR458767 DDM458767:DDN458767 DNI458767:DNJ458767 DXE458767:DXF458767 EHA458767:EHB458767 EQW458767:EQX458767 FAS458767:FAT458767 FKO458767:FKP458767 FUK458767:FUL458767 GEG458767:GEH458767 GOC458767:GOD458767 GXY458767:GXZ458767 HHU458767:HHV458767 HRQ458767:HRR458767 IBM458767:IBN458767 ILI458767:ILJ458767 IVE458767:IVF458767 JFA458767:JFB458767 JOW458767:JOX458767 JYS458767:JYT458767 KIO458767:KIP458767 KSK458767:KSL458767 LCG458767:LCH458767 LMC458767:LMD458767 LVY458767:LVZ458767 MFU458767:MFV458767 MPQ458767:MPR458767 MZM458767:MZN458767 NJI458767:NJJ458767 NTE458767:NTF458767 ODA458767:ODB458767 OMW458767:OMX458767 OWS458767:OWT458767 PGO458767:PGP458767 PQK458767:PQL458767 QAG458767:QAH458767 QKC458767:QKD458767 QTY458767:QTZ458767 RDU458767:RDV458767 RNQ458767:RNR458767 RXM458767:RXN458767 SHI458767:SHJ458767 SRE458767:SRF458767 TBA458767:TBB458767 TKW458767:TKX458767 TUS458767:TUT458767 UEO458767:UEP458767 UOK458767:UOL458767 UYG458767:UYH458767 VIC458767:VID458767 VRY458767:VRZ458767 WBU458767:WBV458767 WLQ458767:WLR458767 WVM458767:WVN458767 E524303:F524303 JA524303:JB524303 SW524303:SX524303 ACS524303:ACT524303 AMO524303:AMP524303 AWK524303:AWL524303 BGG524303:BGH524303 BQC524303:BQD524303 BZY524303:BZZ524303 CJU524303:CJV524303 CTQ524303:CTR524303 DDM524303:DDN524303 DNI524303:DNJ524303 DXE524303:DXF524303 EHA524303:EHB524303 EQW524303:EQX524303 FAS524303:FAT524303 FKO524303:FKP524303 FUK524303:FUL524303 GEG524303:GEH524303 GOC524303:GOD524303 GXY524303:GXZ524303 HHU524303:HHV524303 HRQ524303:HRR524303 IBM524303:IBN524303 ILI524303:ILJ524303 IVE524303:IVF524303 JFA524303:JFB524303 JOW524303:JOX524303 JYS524303:JYT524303 KIO524303:KIP524303 KSK524303:KSL524303 LCG524303:LCH524303 LMC524303:LMD524303 LVY524303:LVZ524303 MFU524303:MFV524303 MPQ524303:MPR524303 MZM524303:MZN524303 NJI524303:NJJ524303 NTE524303:NTF524303 ODA524303:ODB524303 OMW524303:OMX524303 OWS524303:OWT524303 PGO524303:PGP524303 PQK524303:PQL524303 QAG524303:QAH524303 QKC524303:QKD524303 QTY524303:QTZ524303 RDU524303:RDV524303 RNQ524303:RNR524303 RXM524303:RXN524303 SHI524303:SHJ524303 SRE524303:SRF524303 TBA524303:TBB524303 TKW524303:TKX524303 TUS524303:TUT524303 UEO524303:UEP524303 UOK524303:UOL524303 UYG524303:UYH524303 VIC524303:VID524303 VRY524303:VRZ524303 WBU524303:WBV524303 WLQ524303:WLR524303 WVM524303:WVN524303 E589839:F589839 JA589839:JB589839 SW589839:SX589839 ACS589839:ACT589839 AMO589839:AMP589839 AWK589839:AWL589839 BGG589839:BGH589839 BQC589839:BQD589839 BZY589839:BZZ589839 CJU589839:CJV589839 CTQ589839:CTR589839 DDM589839:DDN589839 DNI589839:DNJ589839 DXE589839:DXF589839 EHA589839:EHB589839 EQW589839:EQX589839 FAS589839:FAT589839 FKO589839:FKP589839 FUK589839:FUL589839 GEG589839:GEH589839 GOC589839:GOD589839 GXY589839:GXZ589839 HHU589839:HHV589839 HRQ589839:HRR589839 IBM589839:IBN589839 ILI589839:ILJ589839 IVE589839:IVF589839 JFA589839:JFB589839 JOW589839:JOX589839 JYS589839:JYT589839 KIO589839:KIP589839 KSK589839:KSL589839 LCG589839:LCH589839 LMC589839:LMD589839 LVY589839:LVZ589839 MFU589839:MFV589839 MPQ589839:MPR589839 MZM589839:MZN589839 NJI589839:NJJ589839 NTE589839:NTF589839 ODA589839:ODB589839 OMW589839:OMX589839 OWS589839:OWT589839 PGO589839:PGP589839 PQK589839:PQL589839 QAG589839:QAH589839 QKC589839:QKD589839 QTY589839:QTZ589839 RDU589839:RDV589839 RNQ589839:RNR589839 RXM589839:RXN589839 SHI589839:SHJ589839 SRE589839:SRF589839 TBA589839:TBB589839 TKW589839:TKX589839 TUS589839:TUT589839 UEO589839:UEP589839 UOK589839:UOL589839 UYG589839:UYH589839 VIC589839:VID589839 VRY589839:VRZ589839 WBU589839:WBV589839 WLQ589839:WLR589839 WVM589839:WVN589839 E655375:F655375 JA655375:JB655375 SW655375:SX655375 ACS655375:ACT655375 AMO655375:AMP655375 AWK655375:AWL655375 BGG655375:BGH655375 BQC655375:BQD655375 BZY655375:BZZ655375 CJU655375:CJV655375 CTQ655375:CTR655375 DDM655375:DDN655375 DNI655375:DNJ655375 DXE655375:DXF655375 EHA655375:EHB655375 EQW655375:EQX655375 FAS655375:FAT655375 FKO655375:FKP655375 FUK655375:FUL655375 GEG655375:GEH655375 GOC655375:GOD655375 GXY655375:GXZ655375 HHU655375:HHV655375 HRQ655375:HRR655375 IBM655375:IBN655375 ILI655375:ILJ655375 IVE655375:IVF655375 JFA655375:JFB655375 JOW655375:JOX655375 JYS655375:JYT655375 KIO655375:KIP655375 KSK655375:KSL655375 LCG655375:LCH655375 LMC655375:LMD655375 LVY655375:LVZ655375 MFU655375:MFV655375 MPQ655375:MPR655375 MZM655375:MZN655375 NJI655375:NJJ655375 NTE655375:NTF655375 ODA655375:ODB655375 OMW655375:OMX655375 OWS655375:OWT655375 PGO655375:PGP655375 PQK655375:PQL655375 QAG655375:QAH655375 QKC655375:QKD655375 QTY655375:QTZ655375 RDU655375:RDV655375 RNQ655375:RNR655375 RXM655375:RXN655375 SHI655375:SHJ655375 SRE655375:SRF655375 TBA655375:TBB655375 TKW655375:TKX655375 TUS655375:TUT655375 UEO655375:UEP655375 UOK655375:UOL655375 UYG655375:UYH655375 VIC655375:VID655375 VRY655375:VRZ655375 WBU655375:WBV655375 WLQ655375:WLR655375 WVM655375:WVN655375 E720911:F720911 JA720911:JB720911 SW720911:SX720911 ACS720911:ACT720911 AMO720911:AMP720911 AWK720911:AWL720911 BGG720911:BGH720911 BQC720911:BQD720911 BZY720911:BZZ720911 CJU720911:CJV720911 CTQ720911:CTR720911 DDM720911:DDN720911 DNI720911:DNJ720911 DXE720911:DXF720911 EHA720911:EHB720911 EQW720911:EQX720911 FAS720911:FAT720911 FKO720911:FKP720911 FUK720911:FUL720911 GEG720911:GEH720911 GOC720911:GOD720911 GXY720911:GXZ720911 HHU720911:HHV720911 HRQ720911:HRR720911 IBM720911:IBN720911 ILI720911:ILJ720911 IVE720911:IVF720911 JFA720911:JFB720911 JOW720911:JOX720911 JYS720911:JYT720911 KIO720911:KIP720911 KSK720911:KSL720911 LCG720911:LCH720911 LMC720911:LMD720911 LVY720911:LVZ720911 MFU720911:MFV720911 MPQ720911:MPR720911 MZM720911:MZN720911 NJI720911:NJJ720911 NTE720911:NTF720911 ODA720911:ODB720911 OMW720911:OMX720911 OWS720911:OWT720911 PGO720911:PGP720911 PQK720911:PQL720911 QAG720911:QAH720911 QKC720911:QKD720911 QTY720911:QTZ720911 RDU720911:RDV720911 RNQ720911:RNR720911 RXM720911:RXN720911 SHI720911:SHJ720911 SRE720911:SRF720911 TBA720911:TBB720911 TKW720911:TKX720911 TUS720911:TUT720911 UEO720911:UEP720911 UOK720911:UOL720911 UYG720911:UYH720911 VIC720911:VID720911 VRY720911:VRZ720911 WBU720911:WBV720911 WLQ720911:WLR720911 WVM720911:WVN720911 E786447:F786447 JA786447:JB786447 SW786447:SX786447 ACS786447:ACT786447 AMO786447:AMP786447 AWK786447:AWL786447 BGG786447:BGH786447 BQC786447:BQD786447 BZY786447:BZZ786447 CJU786447:CJV786447 CTQ786447:CTR786447 DDM786447:DDN786447 DNI786447:DNJ786447 DXE786447:DXF786447 EHA786447:EHB786447 EQW786447:EQX786447 FAS786447:FAT786447 FKO786447:FKP786447 FUK786447:FUL786447 GEG786447:GEH786447 GOC786447:GOD786447 GXY786447:GXZ786447 HHU786447:HHV786447 HRQ786447:HRR786447 IBM786447:IBN786447 ILI786447:ILJ786447 IVE786447:IVF786447 JFA786447:JFB786447 JOW786447:JOX786447 JYS786447:JYT786447 KIO786447:KIP786447 KSK786447:KSL786447 LCG786447:LCH786447 LMC786447:LMD786447 LVY786447:LVZ786447 MFU786447:MFV786447 MPQ786447:MPR786447 MZM786447:MZN786447 NJI786447:NJJ786447 NTE786447:NTF786447 ODA786447:ODB786447 OMW786447:OMX786447 OWS786447:OWT786447 PGO786447:PGP786447 PQK786447:PQL786447 QAG786447:QAH786447 QKC786447:QKD786447 QTY786447:QTZ786447 RDU786447:RDV786447 RNQ786447:RNR786447 RXM786447:RXN786447 SHI786447:SHJ786447 SRE786447:SRF786447 TBA786447:TBB786447 TKW786447:TKX786447 TUS786447:TUT786447 UEO786447:UEP786447 UOK786447:UOL786447 UYG786447:UYH786447 VIC786447:VID786447 VRY786447:VRZ786447 WBU786447:WBV786447 WLQ786447:WLR786447 WVM786447:WVN786447 E851983:F851983 JA851983:JB851983 SW851983:SX851983 ACS851983:ACT851983 AMO851983:AMP851983 AWK851983:AWL851983 BGG851983:BGH851983 BQC851983:BQD851983 BZY851983:BZZ851983 CJU851983:CJV851983 CTQ851983:CTR851983 DDM851983:DDN851983 DNI851983:DNJ851983 DXE851983:DXF851983 EHA851983:EHB851983 EQW851983:EQX851983 FAS851983:FAT851983 FKO851983:FKP851983 FUK851983:FUL851983 GEG851983:GEH851983 GOC851983:GOD851983 GXY851983:GXZ851983 HHU851983:HHV851983 HRQ851983:HRR851983 IBM851983:IBN851983 ILI851983:ILJ851983 IVE851983:IVF851983 JFA851983:JFB851983 JOW851983:JOX851983 JYS851983:JYT851983 KIO851983:KIP851983 KSK851983:KSL851983 LCG851983:LCH851983 LMC851983:LMD851983 LVY851983:LVZ851983 MFU851983:MFV851983 MPQ851983:MPR851983 MZM851983:MZN851983 NJI851983:NJJ851983 NTE851983:NTF851983 ODA851983:ODB851983 OMW851983:OMX851983 OWS851983:OWT851983 PGO851983:PGP851983 PQK851983:PQL851983 QAG851983:QAH851983 QKC851983:QKD851983 QTY851983:QTZ851983 RDU851983:RDV851983 RNQ851983:RNR851983 RXM851983:RXN851983 SHI851983:SHJ851983 SRE851983:SRF851983 TBA851983:TBB851983 TKW851983:TKX851983 TUS851983:TUT851983 UEO851983:UEP851983 UOK851983:UOL851983 UYG851983:UYH851983 VIC851983:VID851983 VRY851983:VRZ851983 WBU851983:WBV851983 WLQ851983:WLR851983 WVM851983:WVN851983 E917519:F917519 JA917519:JB917519 SW917519:SX917519 ACS917519:ACT917519 AMO917519:AMP917519 AWK917519:AWL917519 BGG917519:BGH917519 BQC917519:BQD917519 BZY917519:BZZ917519 CJU917519:CJV917519 CTQ917519:CTR917519 DDM917519:DDN917519 DNI917519:DNJ917519 DXE917519:DXF917519 EHA917519:EHB917519 EQW917519:EQX917519 FAS917519:FAT917519 FKO917519:FKP917519 FUK917519:FUL917519 GEG917519:GEH917519 GOC917519:GOD917519 GXY917519:GXZ917519 HHU917519:HHV917519 HRQ917519:HRR917519 IBM917519:IBN917519 ILI917519:ILJ917519 IVE917519:IVF917519 JFA917519:JFB917519 JOW917519:JOX917519 JYS917519:JYT917519 KIO917519:KIP917519 KSK917519:KSL917519 LCG917519:LCH917519 LMC917519:LMD917519 LVY917519:LVZ917519 MFU917519:MFV917519 MPQ917519:MPR917519 MZM917519:MZN917519 NJI917519:NJJ917519 NTE917519:NTF917519 ODA917519:ODB917519 OMW917519:OMX917519 OWS917519:OWT917519 PGO917519:PGP917519 PQK917519:PQL917519 QAG917519:QAH917519 QKC917519:QKD917519 QTY917519:QTZ917519 RDU917519:RDV917519 RNQ917519:RNR917519 RXM917519:RXN917519 SHI917519:SHJ917519 SRE917519:SRF917519 TBA917519:TBB917519 TKW917519:TKX917519 TUS917519:TUT917519 UEO917519:UEP917519 UOK917519:UOL917519 UYG917519:UYH917519 VIC917519:VID917519 VRY917519:VRZ917519 WBU917519:WBV917519 WLQ917519:WLR917519 WVM917519:WVN917519 E983055:F983055 JA983055:JB983055 SW983055:SX983055 ACS983055:ACT983055 AMO983055:AMP983055 AWK983055:AWL983055 BGG983055:BGH983055 BQC983055:BQD983055 BZY983055:BZZ983055 CJU983055:CJV983055 CTQ983055:CTR983055 DDM983055:DDN983055 DNI983055:DNJ983055 DXE983055:DXF983055 EHA983055:EHB983055 EQW983055:EQX983055 FAS983055:FAT983055 FKO983055:FKP983055 FUK983055:FUL983055 GEG983055:GEH983055 GOC983055:GOD983055 GXY983055:GXZ983055 HHU983055:HHV983055 HRQ983055:HRR983055 IBM983055:IBN983055 ILI983055:ILJ983055 IVE983055:IVF983055 JFA983055:JFB983055 JOW983055:JOX983055 JYS983055:JYT983055 KIO983055:KIP983055 KSK983055:KSL983055 LCG983055:LCH983055 LMC983055:LMD983055 LVY983055:LVZ983055 MFU983055:MFV983055 MPQ983055:MPR983055 MZM983055:MZN983055 NJI983055:NJJ983055 NTE983055:NTF983055 ODA983055:ODB983055 OMW983055:OMX983055 OWS983055:OWT983055 PGO983055:PGP983055 PQK983055:PQL983055 QAG983055:QAH983055 QKC983055:QKD983055 QTY983055:QTZ983055 RDU983055:RDV983055 RNQ983055:RNR983055 RXM983055:RXN983055 SHI983055:SHJ983055 SRE983055:SRF983055 TBA983055:TBB983055 TKW983055:TKX983055 TUS983055:TUT983055 UEO983055:UEP983055 UOK983055:UOL983055 UYG983055:UYH983055 VIC983055:VID983055 VRY983055:VRZ983055 WBU983055:WBV983055 WLQ983055:WLR983055 WVM983055:WVN983055 E45:F45 JA45:JB45 SW45:SX45 ACS45:ACT45 AMO45:AMP45 AWK45:AWL45 BGG45:BGH45 BQC45:BQD45 BZY45:BZZ45 CJU45:CJV45 CTQ45:CTR45 DDM45:DDN45 DNI45:DNJ45 DXE45:DXF45 EHA45:EHB45 EQW45:EQX45 FAS45:FAT45 FKO45:FKP45 FUK45:FUL45 GEG45:GEH45 GOC45:GOD45 GXY45:GXZ45 HHU45:HHV45 HRQ45:HRR45 IBM45:IBN45 ILI45:ILJ45 IVE45:IVF45 JFA45:JFB45 JOW45:JOX45 JYS45:JYT45 KIO45:KIP45 KSK45:KSL45 LCG45:LCH45 LMC45:LMD45 LVY45:LVZ45 MFU45:MFV45 MPQ45:MPR45 MZM45:MZN45 NJI45:NJJ45 NTE45:NTF45 ODA45:ODB45 OMW45:OMX45 OWS45:OWT45 PGO45:PGP45 PQK45:PQL45 QAG45:QAH45 QKC45:QKD45 QTY45:QTZ45 RDU45:RDV45 RNQ45:RNR45 RXM45:RXN45 SHI45:SHJ45 SRE45:SRF45 TBA45:TBB45 TKW45:TKX45 TUS45:TUT45 UEO45:UEP45 UOK45:UOL45 UYG45:UYH45 VIC45:VID45 VRY45:VRZ45 WBU45:WBV45 WLQ45:WLR45 WVM45:WVN45 E65581:F65581 JA65581:JB65581 SW65581:SX65581 ACS65581:ACT65581 AMO65581:AMP65581 AWK65581:AWL65581 BGG65581:BGH65581 BQC65581:BQD65581 BZY65581:BZZ65581 CJU65581:CJV65581 CTQ65581:CTR65581 DDM65581:DDN65581 DNI65581:DNJ65581 DXE65581:DXF65581 EHA65581:EHB65581 EQW65581:EQX65581 FAS65581:FAT65581 FKO65581:FKP65581 FUK65581:FUL65581 GEG65581:GEH65581 GOC65581:GOD65581 GXY65581:GXZ65581 HHU65581:HHV65581 HRQ65581:HRR65581 IBM65581:IBN65581 ILI65581:ILJ65581 IVE65581:IVF65581 JFA65581:JFB65581 JOW65581:JOX65581 JYS65581:JYT65581 KIO65581:KIP65581 KSK65581:KSL65581 LCG65581:LCH65581 LMC65581:LMD65581 LVY65581:LVZ65581 MFU65581:MFV65581 MPQ65581:MPR65581 MZM65581:MZN65581 NJI65581:NJJ65581 NTE65581:NTF65581 ODA65581:ODB65581 OMW65581:OMX65581 OWS65581:OWT65581 PGO65581:PGP65581 PQK65581:PQL65581 QAG65581:QAH65581 QKC65581:QKD65581 QTY65581:QTZ65581 RDU65581:RDV65581 RNQ65581:RNR65581 RXM65581:RXN65581 SHI65581:SHJ65581 SRE65581:SRF65581 TBA65581:TBB65581 TKW65581:TKX65581 TUS65581:TUT65581 UEO65581:UEP65581 UOK65581:UOL65581 UYG65581:UYH65581 VIC65581:VID65581 VRY65581:VRZ65581 WBU65581:WBV65581 WLQ65581:WLR65581 WVM65581:WVN65581 E131117:F131117 JA131117:JB131117 SW131117:SX131117 ACS131117:ACT131117 AMO131117:AMP131117 AWK131117:AWL131117 BGG131117:BGH131117 BQC131117:BQD131117 BZY131117:BZZ131117 CJU131117:CJV131117 CTQ131117:CTR131117 DDM131117:DDN131117 DNI131117:DNJ131117 DXE131117:DXF131117 EHA131117:EHB131117 EQW131117:EQX131117 FAS131117:FAT131117 FKO131117:FKP131117 FUK131117:FUL131117 GEG131117:GEH131117 GOC131117:GOD131117 GXY131117:GXZ131117 HHU131117:HHV131117 HRQ131117:HRR131117 IBM131117:IBN131117 ILI131117:ILJ131117 IVE131117:IVF131117 JFA131117:JFB131117 JOW131117:JOX131117 JYS131117:JYT131117 KIO131117:KIP131117 KSK131117:KSL131117 LCG131117:LCH131117 LMC131117:LMD131117 LVY131117:LVZ131117 MFU131117:MFV131117 MPQ131117:MPR131117 MZM131117:MZN131117 NJI131117:NJJ131117 NTE131117:NTF131117 ODA131117:ODB131117 OMW131117:OMX131117 OWS131117:OWT131117 PGO131117:PGP131117 PQK131117:PQL131117 QAG131117:QAH131117 QKC131117:QKD131117 QTY131117:QTZ131117 RDU131117:RDV131117 RNQ131117:RNR131117 RXM131117:RXN131117 SHI131117:SHJ131117 SRE131117:SRF131117 TBA131117:TBB131117 TKW131117:TKX131117 TUS131117:TUT131117 UEO131117:UEP131117 UOK131117:UOL131117 UYG131117:UYH131117 VIC131117:VID131117 VRY131117:VRZ131117 WBU131117:WBV131117 WLQ131117:WLR131117 WVM131117:WVN131117 E196653:F196653 JA196653:JB196653 SW196653:SX196653 ACS196653:ACT196653 AMO196653:AMP196653 AWK196653:AWL196653 BGG196653:BGH196653 BQC196653:BQD196653 BZY196653:BZZ196653 CJU196653:CJV196653 CTQ196653:CTR196653 DDM196653:DDN196653 DNI196653:DNJ196653 DXE196653:DXF196653 EHA196653:EHB196653 EQW196653:EQX196653 FAS196653:FAT196653 FKO196653:FKP196653 FUK196653:FUL196653 GEG196653:GEH196653 GOC196653:GOD196653 GXY196653:GXZ196653 HHU196653:HHV196653 HRQ196653:HRR196653 IBM196653:IBN196653 ILI196653:ILJ196653 IVE196653:IVF196653 JFA196653:JFB196653 JOW196653:JOX196653 JYS196653:JYT196653 KIO196653:KIP196653 KSK196653:KSL196653 LCG196653:LCH196653 LMC196653:LMD196653 LVY196653:LVZ196653 MFU196653:MFV196653 MPQ196653:MPR196653 MZM196653:MZN196653 NJI196653:NJJ196653 NTE196653:NTF196653 ODA196653:ODB196653 OMW196653:OMX196653 OWS196653:OWT196653 PGO196653:PGP196653 PQK196653:PQL196653 QAG196653:QAH196653 QKC196653:QKD196653 QTY196653:QTZ196653 RDU196653:RDV196653 RNQ196653:RNR196653 RXM196653:RXN196653 SHI196653:SHJ196653 SRE196653:SRF196653 TBA196653:TBB196653 TKW196653:TKX196653 TUS196653:TUT196653 UEO196653:UEP196653 UOK196653:UOL196653 UYG196653:UYH196653 VIC196653:VID196653 VRY196653:VRZ196653 WBU196653:WBV196653 WLQ196653:WLR196653 WVM196653:WVN196653 E262189:F262189 JA262189:JB262189 SW262189:SX262189 ACS262189:ACT262189 AMO262189:AMP262189 AWK262189:AWL262189 BGG262189:BGH262189 BQC262189:BQD262189 BZY262189:BZZ262189 CJU262189:CJV262189 CTQ262189:CTR262189 DDM262189:DDN262189 DNI262189:DNJ262189 DXE262189:DXF262189 EHA262189:EHB262189 EQW262189:EQX262189 FAS262189:FAT262189 FKO262189:FKP262189 FUK262189:FUL262189 GEG262189:GEH262189 GOC262189:GOD262189 GXY262189:GXZ262189 HHU262189:HHV262189 HRQ262189:HRR262189 IBM262189:IBN262189 ILI262189:ILJ262189 IVE262189:IVF262189 JFA262189:JFB262189 JOW262189:JOX262189 JYS262189:JYT262189 KIO262189:KIP262189 KSK262189:KSL262189 LCG262189:LCH262189 LMC262189:LMD262189 LVY262189:LVZ262189 MFU262189:MFV262189 MPQ262189:MPR262189 MZM262189:MZN262189 NJI262189:NJJ262189 NTE262189:NTF262189 ODA262189:ODB262189 OMW262189:OMX262189 OWS262189:OWT262189 PGO262189:PGP262189 PQK262189:PQL262189 QAG262189:QAH262189 QKC262189:QKD262189 QTY262189:QTZ262189 RDU262189:RDV262189 RNQ262189:RNR262189 RXM262189:RXN262189 SHI262189:SHJ262189 SRE262189:SRF262189 TBA262189:TBB262189 TKW262189:TKX262189 TUS262189:TUT262189 UEO262189:UEP262189 UOK262189:UOL262189 UYG262189:UYH262189 VIC262189:VID262189 VRY262189:VRZ262189 WBU262189:WBV262189 WLQ262189:WLR262189 WVM262189:WVN262189 E327725:F327725 JA327725:JB327725 SW327725:SX327725 ACS327725:ACT327725 AMO327725:AMP327725 AWK327725:AWL327725 BGG327725:BGH327725 BQC327725:BQD327725 BZY327725:BZZ327725 CJU327725:CJV327725 CTQ327725:CTR327725 DDM327725:DDN327725 DNI327725:DNJ327725 DXE327725:DXF327725 EHA327725:EHB327725 EQW327725:EQX327725 FAS327725:FAT327725 FKO327725:FKP327725 FUK327725:FUL327725 GEG327725:GEH327725 GOC327725:GOD327725 GXY327725:GXZ327725 HHU327725:HHV327725 HRQ327725:HRR327725 IBM327725:IBN327725 ILI327725:ILJ327725 IVE327725:IVF327725 JFA327725:JFB327725 JOW327725:JOX327725 JYS327725:JYT327725 KIO327725:KIP327725 KSK327725:KSL327725 LCG327725:LCH327725 LMC327725:LMD327725 LVY327725:LVZ327725 MFU327725:MFV327725 MPQ327725:MPR327725 MZM327725:MZN327725 NJI327725:NJJ327725 NTE327725:NTF327725 ODA327725:ODB327725 OMW327725:OMX327725 OWS327725:OWT327725 PGO327725:PGP327725 PQK327725:PQL327725 QAG327725:QAH327725 QKC327725:QKD327725 QTY327725:QTZ327725 RDU327725:RDV327725 RNQ327725:RNR327725 RXM327725:RXN327725 SHI327725:SHJ327725 SRE327725:SRF327725 TBA327725:TBB327725 TKW327725:TKX327725 TUS327725:TUT327725 UEO327725:UEP327725 UOK327725:UOL327725 UYG327725:UYH327725 VIC327725:VID327725 VRY327725:VRZ327725 WBU327725:WBV327725 WLQ327725:WLR327725 WVM327725:WVN327725 E393261:F393261 JA393261:JB393261 SW393261:SX393261 ACS393261:ACT393261 AMO393261:AMP393261 AWK393261:AWL393261 BGG393261:BGH393261 BQC393261:BQD393261 BZY393261:BZZ393261 CJU393261:CJV393261 CTQ393261:CTR393261 DDM393261:DDN393261 DNI393261:DNJ393261 DXE393261:DXF393261 EHA393261:EHB393261 EQW393261:EQX393261 FAS393261:FAT393261 FKO393261:FKP393261 FUK393261:FUL393261 GEG393261:GEH393261 GOC393261:GOD393261 GXY393261:GXZ393261 HHU393261:HHV393261 HRQ393261:HRR393261 IBM393261:IBN393261 ILI393261:ILJ393261 IVE393261:IVF393261 JFA393261:JFB393261 JOW393261:JOX393261 JYS393261:JYT393261 KIO393261:KIP393261 KSK393261:KSL393261 LCG393261:LCH393261 LMC393261:LMD393261 LVY393261:LVZ393261 MFU393261:MFV393261 MPQ393261:MPR393261 MZM393261:MZN393261 NJI393261:NJJ393261 NTE393261:NTF393261 ODA393261:ODB393261 OMW393261:OMX393261 OWS393261:OWT393261 PGO393261:PGP393261 PQK393261:PQL393261 QAG393261:QAH393261 QKC393261:QKD393261 QTY393261:QTZ393261 RDU393261:RDV393261 RNQ393261:RNR393261 RXM393261:RXN393261 SHI393261:SHJ393261 SRE393261:SRF393261 TBA393261:TBB393261 TKW393261:TKX393261 TUS393261:TUT393261 UEO393261:UEP393261 UOK393261:UOL393261 UYG393261:UYH393261 VIC393261:VID393261 VRY393261:VRZ393261 WBU393261:WBV393261 WLQ393261:WLR393261 WVM393261:WVN393261 E458797:F458797 JA458797:JB458797 SW458797:SX458797 ACS458797:ACT458797 AMO458797:AMP458797 AWK458797:AWL458797 BGG458797:BGH458797 BQC458797:BQD458797 BZY458797:BZZ458797 CJU458797:CJV458797 CTQ458797:CTR458797 DDM458797:DDN458797 DNI458797:DNJ458797 DXE458797:DXF458797 EHA458797:EHB458797 EQW458797:EQX458797 FAS458797:FAT458797 FKO458797:FKP458797 FUK458797:FUL458797 GEG458797:GEH458797 GOC458797:GOD458797 GXY458797:GXZ458797 HHU458797:HHV458797 HRQ458797:HRR458797 IBM458797:IBN458797 ILI458797:ILJ458797 IVE458797:IVF458797 JFA458797:JFB458797 JOW458797:JOX458797 JYS458797:JYT458797 KIO458797:KIP458797 KSK458797:KSL458797 LCG458797:LCH458797 LMC458797:LMD458797 LVY458797:LVZ458797 MFU458797:MFV458797 MPQ458797:MPR458797 MZM458797:MZN458797 NJI458797:NJJ458797 NTE458797:NTF458797 ODA458797:ODB458797 OMW458797:OMX458797 OWS458797:OWT458797 PGO458797:PGP458797 PQK458797:PQL458797 QAG458797:QAH458797 QKC458797:QKD458797 QTY458797:QTZ458797 RDU458797:RDV458797 RNQ458797:RNR458797 RXM458797:RXN458797 SHI458797:SHJ458797 SRE458797:SRF458797 TBA458797:TBB458797 TKW458797:TKX458797 TUS458797:TUT458797 UEO458797:UEP458797 UOK458797:UOL458797 UYG458797:UYH458797 VIC458797:VID458797 VRY458797:VRZ458797 WBU458797:WBV458797 WLQ458797:WLR458797 WVM458797:WVN458797 E524333:F524333 JA524333:JB524333 SW524333:SX524333 ACS524333:ACT524333 AMO524333:AMP524333 AWK524333:AWL524333 BGG524333:BGH524333 BQC524333:BQD524333 BZY524333:BZZ524333 CJU524333:CJV524333 CTQ524333:CTR524333 DDM524333:DDN524333 DNI524333:DNJ524333 DXE524333:DXF524333 EHA524333:EHB524333 EQW524333:EQX524333 FAS524333:FAT524333 FKO524333:FKP524333 FUK524333:FUL524333 GEG524333:GEH524333 GOC524333:GOD524333 GXY524333:GXZ524333 HHU524333:HHV524333 HRQ524333:HRR524333 IBM524333:IBN524333 ILI524333:ILJ524333 IVE524333:IVF524333 JFA524333:JFB524333 JOW524333:JOX524333 JYS524333:JYT524333 KIO524333:KIP524333 KSK524333:KSL524333 LCG524333:LCH524333 LMC524333:LMD524333 LVY524333:LVZ524333 MFU524333:MFV524333 MPQ524333:MPR524333 MZM524333:MZN524333 NJI524333:NJJ524333 NTE524333:NTF524333 ODA524333:ODB524333 OMW524333:OMX524333 OWS524333:OWT524333 PGO524333:PGP524333 PQK524333:PQL524333 QAG524333:QAH524333 QKC524333:QKD524333 QTY524333:QTZ524333 RDU524333:RDV524333 RNQ524333:RNR524333 RXM524333:RXN524333 SHI524333:SHJ524333 SRE524333:SRF524333 TBA524333:TBB524333 TKW524333:TKX524333 TUS524333:TUT524333 UEO524333:UEP524333 UOK524333:UOL524333 UYG524333:UYH524333 VIC524333:VID524333 VRY524333:VRZ524333 WBU524333:WBV524333 WLQ524333:WLR524333 WVM524333:WVN524333 E589869:F589869 JA589869:JB589869 SW589869:SX589869 ACS589869:ACT589869 AMO589869:AMP589869 AWK589869:AWL589869 BGG589869:BGH589869 BQC589869:BQD589869 BZY589869:BZZ589869 CJU589869:CJV589869 CTQ589869:CTR589869 DDM589869:DDN589869 DNI589869:DNJ589869 DXE589869:DXF589869 EHA589869:EHB589869 EQW589869:EQX589869 FAS589869:FAT589869 FKO589869:FKP589869 FUK589869:FUL589869 GEG589869:GEH589869 GOC589869:GOD589869 GXY589869:GXZ589869 HHU589869:HHV589869 HRQ589869:HRR589869 IBM589869:IBN589869 ILI589869:ILJ589869 IVE589869:IVF589869 JFA589869:JFB589869 JOW589869:JOX589869 JYS589869:JYT589869 KIO589869:KIP589869 KSK589869:KSL589869 LCG589869:LCH589869 LMC589869:LMD589869 LVY589869:LVZ589869 MFU589869:MFV589869 MPQ589869:MPR589869 MZM589869:MZN589869 NJI589869:NJJ589869 NTE589869:NTF589869 ODA589869:ODB589869 OMW589869:OMX589869 OWS589869:OWT589869 PGO589869:PGP589869 PQK589869:PQL589869 QAG589869:QAH589869 QKC589869:QKD589869 QTY589869:QTZ589869 RDU589869:RDV589869 RNQ589869:RNR589869 RXM589869:RXN589869 SHI589869:SHJ589869 SRE589869:SRF589869 TBA589869:TBB589869 TKW589869:TKX589869 TUS589869:TUT589869 UEO589869:UEP589869 UOK589869:UOL589869 UYG589869:UYH589869 VIC589869:VID589869 VRY589869:VRZ589869 WBU589869:WBV589869 WLQ589869:WLR589869 WVM589869:WVN589869 E655405:F655405 JA655405:JB655405 SW655405:SX655405 ACS655405:ACT655405 AMO655405:AMP655405 AWK655405:AWL655405 BGG655405:BGH655405 BQC655405:BQD655405 BZY655405:BZZ655405 CJU655405:CJV655405 CTQ655405:CTR655405 DDM655405:DDN655405 DNI655405:DNJ655405 DXE655405:DXF655405 EHA655405:EHB655405 EQW655405:EQX655405 FAS655405:FAT655405 FKO655405:FKP655405 FUK655405:FUL655405 GEG655405:GEH655405 GOC655405:GOD655405 GXY655405:GXZ655405 HHU655405:HHV655405 HRQ655405:HRR655405 IBM655405:IBN655405 ILI655405:ILJ655405 IVE655405:IVF655405 JFA655405:JFB655405 JOW655405:JOX655405 JYS655405:JYT655405 KIO655405:KIP655405 KSK655405:KSL655405 LCG655405:LCH655405 LMC655405:LMD655405 LVY655405:LVZ655405 MFU655405:MFV655405 MPQ655405:MPR655405 MZM655405:MZN655405 NJI655405:NJJ655405 NTE655405:NTF655405 ODA655405:ODB655405 OMW655405:OMX655405 OWS655405:OWT655405 PGO655405:PGP655405 PQK655405:PQL655405 QAG655405:QAH655405 QKC655405:QKD655405 QTY655405:QTZ655405 RDU655405:RDV655405 RNQ655405:RNR655405 RXM655405:RXN655405 SHI655405:SHJ655405 SRE655405:SRF655405 TBA655405:TBB655405 TKW655405:TKX655405 TUS655405:TUT655405 UEO655405:UEP655405 UOK655405:UOL655405 UYG655405:UYH655405 VIC655405:VID655405 VRY655405:VRZ655405 WBU655405:WBV655405 WLQ655405:WLR655405 WVM655405:WVN655405 E720941:F720941 JA720941:JB720941 SW720941:SX720941 ACS720941:ACT720941 AMO720941:AMP720941 AWK720941:AWL720941 BGG720941:BGH720941 BQC720941:BQD720941 BZY720941:BZZ720941 CJU720941:CJV720941 CTQ720941:CTR720941 DDM720941:DDN720941 DNI720941:DNJ720941 DXE720941:DXF720941 EHA720941:EHB720941 EQW720941:EQX720941 FAS720941:FAT720941 FKO720941:FKP720941 FUK720941:FUL720941 GEG720941:GEH720941 GOC720941:GOD720941 GXY720941:GXZ720941 HHU720941:HHV720941 HRQ720941:HRR720941 IBM720941:IBN720941 ILI720941:ILJ720941 IVE720941:IVF720941 JFA720941:JFB720941 JOW720941:JOX720941 JYS720941:JYT720941 KIO720941:KIP720941 KSK720941:KSL720941 LCG720941:LCH720941 LMC720941:LMD720941 LVY720941:LVZ720941 MFU720941:MFV720941 MPQ720941:MPR720941 MZM720941:MZN720941 NJI720941:NJJ720941 NTE720941:NTF720941 ODA720941:ODB720941 OMW720941:OMX720941 OWS720941:OWT720941 PGO720941:PGP720941 PQK720941:PQL720941 QAG720941:QAH720941 QKC720941:QKD720941 QTY720941:QTZ720941 RDU720941:RDV720941 RNQ720941:RNR720941 RXM720941:RXN720941 SHI720941:SHJ720941 SRE720941:SRF720941 TBA720941:TBB720941 TKW720941:TKX720941 TUS720941:TUT720941 UEO720941:UEP720941 UOK720941:UOL720941 UYG720941:UYH720941 VIC720941:VID720941 VRY720941:VRZ720941 WBU720941:WBV720941 WLQ720941:WLR720941 WVM720941:WVN720941 E786477:F786477 JA786477:JB786477 SW786477:SX786477 ACS786477:ACT786477 AMO786477:AMP786477 AWK786477:AWL786477 BGG786477:BGH786477 BQC786477:BQD786477 BZY786477:BZZ786477 CJU786477:CJV786477 CTQ786477:CTR786477 DDM786477:DDN786477 DNI786477:DNJ786477 DXE786477:DXF786477 EHA786477:EHB786477 EQW786477:EQX786477 FAS786477:FAT786477 FKO786477:FKP786477 FUK786477:FUL786477 GEG786477:GEH786477 GOC786477:GOD786477 GXY786477:GXZ786477 HHU786477:HHV786477 HRQ786477:HRR786477 IBM786477:IBN786477 ILI786477:ILJ786477 IVE786477:IVF786477 JFA786477:JFB786477 JOW786477:JOX786477 JYS786477:JYT786477 KIO786477:KIP786477 KSK786477:KSL786477 LCG786477:LCH786477 LMC786477:LMD786477 LVY786477:LVZ786477 MFU786477:MFV786477 MPQ786477:MPR786477 MZM786477:MZN786477 NJI786477:NJJ786477 NTE786477:NTF786477 ODA786477:ODB786477 OMW786477:OMX786477 OWS786477:OWT786477 PGO786477:PGP786477 PQK786477:PQL786477 QAG786477:QAH786477 QKC786477:QKD786477 QTY786477:QTZ786477 RDU786477:RDV786477 RNQ786477:RNR786477 RXM786477:RXN786477 SHI786477:SHJ786477 SRE786477:SRF786477 TBA786477:TBB786477 TKW786477:TKX786477 TUS786477:TUT786477 UEO786477:UEP786477 UOK786477:UOL786477 UYG786477:UYH786477 VIC786477:VID786477 VRY786477:VRZ786477 WBU786477:WBV786477 WLQ786477:WLR786477 WVM786477:WVN786477 E852013:F852013 JA852013:JB852013 SW852013:SX852013 ACS852013:ACT852013 AMO852013:AMP852013 AWK852013:AWL852013 BGG852013:BGH852013 BQC852013:BQD852013 BZY852013:BZZ852013 CJU852013:CJV852013 CTQ852013:CTR852013 DDM852013:DDN852013 DNI852013:DNJ852013 DXE852013:DXF852013 EHA852013:EHB852013 EQW852013:EQX852013 FAS852013:FAT852013 FKO852013:FKP852013 FUK852013:FUL852013 GEG852013:GEH852013 GOC852013:GOD852013 GXY852013:GXZ852013 HHU852013:HHV852013 HRQ852013:HRR852013 IBM852013:IBN852013 ILI852013:ILJ852013 IVE852013:IVF852013 JFA852013:JFB852013 JOW852013:JOX852013 JYS852013:JYT852013 KIO852013:KIP852013 KSK852013:KSL852013 LCG852013:LCH852013 LMC852013:LMD852013 LVY852013:LVZ852013 MFU852013:MFV852013 MPQ852013:MPR852013 MZM852013:MZN852013 NJI852013:NJJ852013 NTE852013:NTF852013 ODA852013:ODB852013 OMW852013:OMX852013 OWS852013:OWT852013 PGO852013:PGP852013 PQK852013:PQL852013 QAG852013:QAH852013 QKC852013:QKD852013 QTY852013:QTZ852013 RDU852013:RDV852013 RNQ852013:RNR852013 RXM852013:RXN852013 SHI852013:SHJ852013 SRE852013:SRF852013 TBA852013:TBB852013 TKW852013:TKX852013 TUS852013:TUT852013 UEO852013:UEP852013 UOK852013:UOL852013 UYG852013:UYH852013 VIC852013:VID852013 VRY852013:VRZ852013 WBU852013:WBV852013 WLQ852013:WLR852013 WVM852013:WVN852013 E917549:F917549 JA917549:JB917549 SW917549:SX917549 ACS917549:ACT917549 AMO917549:AMP917549 AWK917549:AWL917549 BGG917549:BGH917549 BQC917549:BQD917549 BZY917549:BZZ917549 CJU917549:CJV917549 CTQ917549:CTR917549 DDM917549:DDN917549 DNI917549:DNJ917549 DXE917549:DXF917549 EHA917549:EHB917549 EQW917549:EQX917549 FAS917549:FAT917549 FKO917549:FKP917549 FUK917549:FUL917549 GEG917549:GEH917549 GOC917549:GOD917549 GXY917549:GXZ917549 HHU917549:HHV917549 HRQ917549:HRR917549 IBM917549:IBN917549 ILI917549:ILJ917549 IVE917549:IVF917549 JFA917549:JFB917549 JOW917549:JOX917549 JYS917549:JYT917549 KIO917549:KIP917549 KSK917549:KSL917549 LCG917549:LCH917549 LMC917549:LMD917549 LVY917549:LVZ917549 MFU917549:MFV917549 MPQ917549:MPR917549 MZM917549:MZN917549 NJI917549:NJJ917549 NTE917549:NTF917549 ODA917549:ODB917549 OMW917549:OMX917549 OWS917549:OWT917549 PGO917549:PGP917549 PQK917549:PQL917549 QAG917549:QAH917549 QKC917549:QKD917549 QTY917549:QTZ917549 RDU917549:RDV917549 RNQ917549:RNR917549 RXM917549:RXN917549 SHI917549:SHJ917549 SRE917549:SRF917549 TBA917549:TBB917549 TKW917549:TKX917549 TUS917549:TUT917549 UEO917549:UEP917549 UOK917549:UOL917549 UYG917549:UYH917549 VIC917549:VID917549 VRY917549:VRZ917549 WBU917549:WBV917549 WLQ917549:WLR917549 WVM917549:WVN917549 E983085:F983085 JA983085:JB983085 SW983085:SX983085 ACS983085:ACT983085 AMO983085:AMP983085 AWK983085:AWL983085 BGG983085:BGH983085 BQC983085:BQD983085 BZY983085:BZZ983085 CJU983085:CJV983085 CTQ983085:CTR983085 DDM983085:DDN983085 DNI983085:DNJ983085 DXE983085:DXF983085 EHA983085:EHB983085 EQW983085:EQX983085 FAS983085:FAT983085 FKO983085:FKP983085 FUK983085:FUL983085 GEG983085:GEH983085 GOC983085:GOD983085 GXY983085:GXZ983085 HHU983085:HHV983085 HRQ983085:HRR983085 IBM983085:IBN983085 ILI983085:ILJ983085 IVE983085:IVF983085 JFA983085:JFB983085 JOW983085:JOX983085 JYS983085:JYT983085 KIO983085:KIP983085 KSK983085:KSL983085 LCG983085:LCH983085 LMC983085:LMD983085 LVY983085:LVZ983085 MFU983085:MFV983085 MPQ983085:MPR983085 MZM983085:MZN983085 NJI983085:NJJ983085 NTE983085:NTF983085 ODA983085:ODB983085 OMW983085:OMX983085 OWS983085:OWT983085 PGO983085:PGP983085 PQK983085:PQL983085 QAG983085:QAH983085 QKC983085:QKD983085 QTY983085:QTZ983085 RDU983085:RDV983085 RNQ983085:RNR983085 RXM983085:RXN983085 SHI983085:SHJ983085 SRE983085:SRF983085 TBA983085:TBB983085 TKW983085:TKX983085 TUS983085:TUT983085 UEO983085:UEP983085 UOK983085:UOL983085 UYG983085:UYH983085 VIC983085:VID983085 VRY983085:VRZ983085 WBU983085:WBV983085 WLQ983085:WLR983085 WVM983085:WVN983085 E49:F49 JA49:JB49 SW49:SX49 ACS49:ACT49 AMO49:AMP49 AWK49:AWL49 BGG49:BGH49 BQC49:BQD49 BZY49:BZZ49 CJU49:CJV49 CTQ49:CTR49 DDM49:DDN49 DNI49:DNJ49 DXE49:DXF49 EHA49:EHB49 EQW49:EQX49 FAS49:FAT49 FKO49:FKP49 FUK49:FUL49 GEG49:GEH49 GOC49:GOD49 GXY49:GXZ49 HHU49:HHV49 HRQ49:HRR49 IBM49:IBN49 ILI49:ILJ49 IVE49:IVF49 JFA49:JFB49 JOW49:JOX49 JYS49:JYT49 KIO49:KIP49 KSK49:KSL49 LCG49:LCH49 LMC49:LMD49 LVY49:LVZ49 MFU49:MFV49 MPQ49:MPR49 MZM49:MZN49 NJI49:NJJ49 NTE49:NTF49 ODA49:ODB49 OMW49:OMX49 OWS49:OWT49 PGO49:PGP49 PQK49:PQL49 QAG49:QAH49 QKC49:QKD49 QTY49:QTZ49 RDU49:RDV49 RNQ49:RNR49 RXM49:RXN49 SHI49:SHJ49 SRE49:SRF49 TBA49:TBB49 TKW49:TKX49 TUS49:TUT49 UEO49:UEP49 UOK49:UOL49 UYG49:UYH49 VIC49:VID49 VRY49:VRZ49 WBU49:WBV49 WLQ49:WLR49 WVM49:WVN49 E65585:F65585 JA65585:JB65585 SW65585:SX65585 ACS65585:ACT65585 AMO65585:AMP65585 AWK65585:AWL65585 BGG65585:BGH65585 BQC65585:BQD65585 BZY65585:BZZ65585 CJU65585:CJV65585 CTQ65585:CTR65585 DDM65585:DDN65585 DNI65585:DNJ65585 DXE65585:DXF65585 EHA65585:EHB65585 EQW65585:EQX65585 FAS65585:FAT65585 FKO65585:FKP65585 FUK65585:FUL65585 GEG65585:GEH65585 GOC65585:GOD65585 GXY65585:GXZ65585 HHU65585:HHV65585 HRQ65585:HRR65585 IBM65585:IBN65585 ILI65585:ILJ65585 IVE65585:IVF65585 JFA65585:JFB65585 JOW65585:JOX65585 JYS65585:JYT65585 KIO65585:KIP65585 KSK65585:KSL65585 LCG65585:LCH65585 LMC65585:LMD65585 LVY65585:LVZ65585 MFU65585:MFV65585 MPQ65585:MPR65585 MZM65585:MZN65585 NJI65585:NJJ65585 NTE65585:NTF65585 ODA65585:ODB65585 OMW65585:OMX65585 OWS65585:OWT65585 PGO65585:PGP65585 PQK65585:PQL65585 QAG65585:QAH65585 QKC65585:QKD65585 QTY65585:QTZ65585 RDU65585:RDV65585 RNQ65585:RNR65585 RXM65585:RXN65585 SHI65585:SHJ65585 SRE65585:SRF65585 TBA65585:TBB65585 TKW65585:TKX65585 TUS65585:TUT65585 UEO65585:UEP65585 UOK65585:UOL65585 UYG65585:UYH65585 VIC65585:VID65585 VRY65585:VRZ65585 WBU65585:WBV65585 WLQ65585:WLR65585 WVM65585:WVN65585 E131121:F131121 JA131121:JB131121 SW131121:SX131121 ACS131121:ACT131121 AMO131121:AMP131121 AWK131121:AWL131121 BGG131121:BGH131121 BQC131121:BQD131121 BZY131121:BZZ131121 CJU131121:CJV131121 CTQ131121:CTR131121 DDM131121:DDN131121 DNI131121:DNJ131121 DXE131121:DXF131121 EHA131121:EHB131121 EQW131121:EQX131121 FAS131121:FAT131121 FKO131121:FKP131121 FUK131121:FUL131121 GEG131121:GEH131121 GOC131121:GOD131121 GXY131121:GXZ131121 HHU131121:HHV131121 HRQ131121:HRR131121 IBM131121:IBN131121 ILI131121:ILJ131121 IVE131121:IVF131121 JFA131121:JFB131121 JOW131121:JOX131121 JYS131121:JYT131121 KIO131121:KIP131121 KSK131121:KSL131121 LCG131121:LCH131121 LMC131121:LMD131121 LVY131121:LVZ131121 MFU131121:MFV131121 MPQ131121:MPR131121 MZM131121:MZN131121 NJI131121:NJJ131121 NTE131121:NTF131121 ODA131121:ODB131121 OMW131121:OMX131121 OWS131121:OWT131121 PGO131121:PGP131121 PQK131121:PQL131121 QAG131121:QAH131121 QKC131121:QKD131121 QTY131121:QTZ131121 RDU131121:RDV131121 RNQ131121:RNR131121 RXM131121:RXN131121 SHI131121:SHJ131121 SRE131121:SRF131121 TBA131121:TBB131121 TKW131121:TKX131121 TUS131121:TUT131121 UEO131121:UEP131121 UOK131121:UOL131121 UYG131121:UYH131121 VIC131121:VID131121 VRY131121:VRZ131121 WBU131121:WBV131121 WLQ131121:WLR131121 WVM131121:WVN131121 E196657:F196657 JA196657:JB196657 SW196657:SX196657 ACS196657:ACT196657 AMO196657:AMP196657 AWK196657:AWL196657 BGG196657:BGH196657 BQC196657:BQD196657 BZY196657:BZZ196657 CJU196657:CJV196657 CTQ196657:CTR196657 DDM196657:DDN196657 DNI196657:DNJ196657 DXE196657:DXF196657 EHA196657:EHB196657 EQW196657:EQX196657 FAS196657:FAT196657 FKO196657:FKP196657 FUK196657:FUL196657 GEG196657:GEH196657 GOC196657:GOD196657 GXY196657:GXZ196657 HHU196657:HHV196657 HRQ196657:HRR196657 IBM196657:IBN196657 ILI196657:ILJ196657 IVE196657:IVF196657 JFA196657:JFB196657 JOW196657:JOX196657 JYS196657:JYT196657 KIO196657:KIP196657 KSK196657:KSL196657 LCG196657:LCH196657 LMC196657:LMD196657 LVY196657:LVZ196657 MFU196657:MFV196657 MPQ196657:MPR196657 MZM196657:MZN196657 NJI196657:NJJ196657 NTE196657:NTF196657 ODA196657:ODB196657 OMW196657:OMX196657 OWS196657:OWT196657 PGO196657:PGP196657 PQK196657:PQL196657 QAG196657:QAH196657 QKC196657:QKD196657 QTY196657:QTZ196657 RDU196657:RDV196657 RNQ196657:RNR196657 RXM196657:RXN196657 SHI196657:SHJ196657 SRE196657:SRF196657 TBA196657:TBB196657 TKW196657:TKX196657 TUS196657:TUT196657 UEO196657:UEP196657 UOK196657:UOL196657 UYG196657:UYH196657 VIC196657:VID196657 VRY196657:VRZ196657 WBU196657:WBV196657 WLQ196657:WLR196657 WVM196657:WVN196657 E262193:F262193 JA262193:JB262193 SW262193:SX262193 ACS262193:ACT262193 AMO262193:AMP262193 AWK262193:AWL262193 BGG262193:BGH262193 BQC262193:BQD262193 BZY262193:BZZ262193 CJU262193:CJV262193 CTQ262193:CTR262193 DDM262193:DDN262193 DNI262193:DNJ262193 DXE262193:DXF262193 EHA262193:EHB262193 EQW262193:EQX262193 FAS262193:FAT262193 FKO262193:FKP262193 FUK262193:FUL262193 GEG262193:GEH262193 GOC262193:GOD262193 GXY262193:GXZ262193 HHU262193:HHV262193 HRQ262193:HRR262193 IBM262193:IBN262193 ILI262193:ILJ262193 IVE262193:IVF262193 JFA262193:JFB262193 JOW262193:JOX262193 JYS262193:JYT262193 KIO262193:KIP262193 KSK262193:KSL262193 LCG262193:LCH262193 LMC262193:LMD262193 LVY262193:LVZ262193 MFU262193:MFV262193 MPQ262193:MPR262193 MZM262193:MZN262193 NJI262193:NJJ262193 NTE262193:NTF262193 ODA262193:ODB262193 OMW262193:OMX262193 OWS262193:OWT262193 PGO262193:PGP262193 PQK262193:PQL262193 QAG262193:QAH262193 QKC262193:QKD262193 QTY262193:QTZ262193 RDU262193:RDV262193 RNQ262193:RNR262193 RXM262193:RXN262193 SHI262193:SHJ262193 SRE262193:SRF262193 TBA262193:TBB262193 TKW262193:TKX262193 TUS262193:TUT262193 UEO262193:UEP262193 UOK262193:UOL262193 UYG262193:UYH262193 VIC262193:VID262193 VRY262193:VRZ262193 WBU262193:WBV262193 WLQ262193:WLR262193 WVM262193:WVN262193 E327729:F327729 JA327729:JB327729 SW327729:SX327729 ACS327729:ACT327729 AMO327729:AMP327729 AWK327729:AWL327729 BGG327729:BGH327729 BQC327729:BQD327729 BZY327729:BZZ327729 CJU327729:CJV327729 CTQ327729:CTR327729 DDM327729:DDN327729 DNI327729:DNJ327729 DXE327729:DXF327729 EHA327729:EHB327729 EQW327729:EQX327729 FAS327729:FAT327729 FKO327729:FKP327729 FUK327729:FUL327729 GEG327729:GEH327729 GOC327729:GOD327729 GXY327729:GXZ327729 HHU327729:HHV327729 HRQ327729:HRR327729 IBM327729:IBN327729 ILI327729:ILJ327729 IVE327729:IVF327729 JFA327729:JFB327729 JOW327729:JOX327729 JYS327729:JYT327729 KIO327729:KIP327729 KSK327729:KSL327729 LCG327729:LCH327729 LMC327729:LMD327729 LVY327729:LVZ327729 MFU327729:MFV327729 MPQ327729:MPR327729 MZM327729:MZN327729 NJI327729:NJJ327729 NTE327729:NTF327729 ODA327729:ODB327729 OMW327729:OMX327729 OWS327729:OWT327729 PGO327729:PGP327729 PQK327729:PQL327729 QAG327729:QAH327729 QKC327729:QKD327729 QTY327729:QTZ327729 RDU327729:RDV327729 RNQ327729:RNR327729 RXM327729:RXN327729 SHI327729:SHJ327729 SRE327729:SRF327729 TBA327729:TBB327729 TKW327729:TKX327729 TUS327729:TUT327729 UEO327729:UEP327729 UOK327729:UOL327729 UYG327729:UYH327729 VIC327729:VID327729 VRY327729:VRZ327729 WBU327729:WBV327729 WLQ327729:WLR327729 WVM327729:WVN327729 E393265:F393265 JA393265:JB393265 SW393265:SX393265 ACS393265:ACT393265 AMO393265:AMP393265 AWK393265:AWL393265 BGG393265:BGH393265 BQC393265:BQD393265 BZY393265:BZZ393265 CJU393265:CJV393265 CTQ393265:CTR393265 DDM393265:DDN393265 DNI393265:DNJ393265 DXE393265:DXF393265 EHA393265:EHB393265 EQW393265:EQX393265 FAS393265:FAT393265 FKO393265:FKP393265 FUK393265:FUL393265 GEG393265:GEH393265 GOC393265:GOD393265 GXY393265:GXZ393265 HHU393265:HHV393265 HRQ393265:HRR393265 IBM393265:IBN393265 ILI393265:ILJ393265 IVE393265:IVF393265 JFA393265:JFB393265 JOW393265:JOX393265 JYS393265:JYT393265 KIO393265:KIP393265 KSK393265:KSL393265 LCG393265:LCH393265 LMC393265:LMD393265 LVY393265:LVZ393265 MFU393265:MFV393265 MPQ393265:MPR393265 MZM393265:MZN393265 NJI393265:NJJ393265 NTE393265:NTF393265 ODA393265:ODB393265 OMW393265:OMX393265 OWS393265:OWT393265 PGO393265:PGP393265 PQK393265:PQL393265 QAG393265:QAH393265 QKC393265:QKD393265 QTY393265:QTZ393265 RDU393265:RDV393265 RNQ393265:RNR393265 RXM393265:RXN393265 SHI393265:SHJ393265 SRE393265:SRF393265 TBA393265:TBB393265 TKW393265:TKX393265 TUS393265:TUT393265 UEO393265:UEP393265 UOK393265:UOL393265 UYG393265:UYH393265 VIC393265:VID393265 VRY393265:VRZ393265 WBU393265:WBV393265 WLQ393265:WLR393265 WVM393265:WVN393265 E458801:F458801 JA458801:JB458801 SW458801:SX458801 ACS458801:ACT458801 AMO458801:AMP458801 AWK458801:AWL458801 BGG458801:BGH458801 BQC458801:BQD458801 BZY458801:BZZ458801 CJU458801:CJV458801 CTQ458801:CTR458801 DDM458801:DDN458801 DNI458801:DNJ458801 DXE458801:DXF458801 EHA458801:EHB458801 EQW458801:EQX458801 FAS458801:FAT458801 FKO458801:FKP458801 FUK458801:FUL458801 GEG458801:GEH458801 GOC458801:GOD458801 GXY458801:GXZ458801 HHU458801:HHV458801 HRQ458801:HRR458801 IBM458801:IBN458801 ILI458801:ILJ458801 IVE458801:IVF458801 JFA458801:JFB458801 JOW458801:JOX458801 JYS458801:JYT458801 KIO458801:KIP458801 KSK458801:KSL458801 LCG458801:LCH458801 LMC458801:LMD458801 LVY458801:LVZ458801 MFU458801:MFV458801 MPQ458801:MPR458801 MZM458801:MZN458801 NJI458801:NJJ458801 NTE458801:NTF458801 ODA458801:ODB458801 OMW458801:OMX458801 OWS458801:OWT458801 PGO458801:PGP458801 PQK458801:PQL458801 QAG458801:QAH458801 QKC458801:QKD458801 QTY458801:QTZ458801 RDU458801:RDV458801 RNQ458801:RNR458801 RXM458801:RXN458801 SHI458801:SHJ458801 SRE458801:SRF458801 TBA458801:TBB458801 TKW458801:TKX458801 TUS458801:TUT458801 UEO458801:UEP458801 UOK458801:UOL458801 UYG458801:UYH458801 VIC458801:VID458801 VRY458801:VRZ458801 WBU458801:WBV458801 WLQ458801:WLR458801 WVM458801:WVN458801 E524337:F524337 JA524337:JB524337 SW524337:SX524337 ACS524337:ACT524337 AMO524337:AMP524337 AWK524337:AWL524337 BGG524337:BGH524337 BQC524337:BQD524337 BZY524337:BZZ524337 CJU524337:CJV524337 CTQ524337:CTR524337 DDM524337:DDN524337 DNI524337:DNJ524337 DXE524337:DXF524337 EHA524337:EHB524337 EQW524337:EQX524337 FAS524337:FAT524337 FKO524337:FKP524337 FUK524337:FUL524337 GEG524337:GEH524337 GOC524337:GOD524337 GXY524337:GXZ524337 HHU524337:HHV524337 HRQ524337:HRR524337 IBM524337:IBN524337 ILI524337:ILJ524337 IVE524337:IVF524337 JFA524337:JFB524337 JOW524337:JOX524337 JYS524337:JYT524337 KIO524337:KIP524337 KSK524337:KSL524337 LCG524337:LCH524337 LMC524337:LMD524337 LVY524337:LVZ524337 MFU524337:MFV524337 MPQ524337:MPR524337 MZM524337:MZN524337 NJI524337:NJJ524337 NTE524337:NTF524337 ODA524337:ODB524337 OMW524337:OMX524337 OWS524337:OWT524337 PGO524337:PGP524337 PQK524337:PQL524337 QAG524337:QAH524337 QKC524337:QKD524337 QTY524337:QTZ524337 RDU524337:RDV524337 RNQ524337:RNR524337 RXM524337:RXN524337 SHI524337:SHJ524337 SRE524337:SRF524337 TBA524337:TBB524337 TKW524337:TKX524337 TUS524337:TUT524337 UEO524337:UEP524337 UOK524337:UOL524337 UYG524337:UYH524337 VIC524337:VID524337 VRY524337:VRZ524337 WBU524337:WBV524337 WLQ524337:WLR524337 WVM524337:WVN524337 E589873:F589873 JA589873:JB589873 SW589873:SX589873 ACS589873:ACT589873 AMO589873:AMP589873 AWK589873:AWL589873 BGG589873:BGH589873 BQC589873:BQD589873 BZY589873:BZZ589873 CJU589873:CJV589873 CTQ589873:CTR589873 DDM589873:DDN589873 DNI589873:DNJ589873 DXE589873:DXF589873 EHA589873:EHB589873 EQW589873:EQX589873 FAS589873:FAT589873 FKO589873:FKP589873 FUK589873:FUL589873 GEG589873:GEH589873 GOC589873:GOD589873 GXY589873:GXZ589873 HHU589873:HHV589873 HRQ589873:HRR589873 IBM589873:IBN589873 ILI589873:ILJ589873 IVE589873:IVF589873 JFA589873:JFB589873 JOW589873:JOX589873 JYS589873:JYT589873 KIO589873:KIP589873 KSK589873:KSL589873 LCG589873:LCH589873 LMC589873:LMD589873 LVY589873:LVZ589873 MFU589873:MFV589873 MPQ589873:MPR589873 MZM589873:MZN589873 NJI589873:NJJ589873 NTE589873:NTF589873 ODA589873:ODB589873 OMW589873:OMX589873 OWS589873:OWT589873 PGO589873:PGP589873 PQK589873:PQL589873 QAG589873:QAH589873 QKC589873:QKD589873 QTY589873:QTZ589873 RDU589873:RDV589873 RNQ589873:RNR589873 RXM589873:RXN589873 SHI589873:SHJ589873 SRE589873:SRF589873 TBA589873:TBB589873 TKW589873:TKX589873 TUS589873:TUT589873 UEO589873:UEP589873 UOK589873:UOL589873 UYG589873:UYH589873 VIC589873:VID589873 VRY589873:VRZ589873 WBU589873:WBV589873 WLQ589873:WLR589873 WVM589873:WVN589873 E655409:F655409 JA655409:JB655409 SW655409:SX655409 ACS655409:ACT655409 AMO655409:AMP655409 AWK655409:AWL655409 BGG655409:BGH655409 BQC655409:BQD655409 BZY655409:BZZ655409 CJU655409:CJV655409 CTQ655409:CTR655409 DDM655409:DDN655409 DNI655409:DNJ655409 DXE655409:DXF655409 EHA655409:EHB655409 EQW655409:EQX655409 FAS655409:FAT655409 FKO655409:FKP655409 FUK655409:FUL655409 GEG655409:GEH655409 GOC655409:GOD655409 GXY655409:GXZ655409 HHU655409:HHV655409 HRQ655409:HRR655409 IBM655409:IBN655409 ILI655409:ILJ655409 IVE655409:IVF655409 JFA655409:JFB655409 JOW655409:JOX655409 JYS655409:JYT655409 KIO655409:KIP655409 KSK655409:KSL655409 LCG655409:LCH655409 LMC655409:LMD655409 LVY655409:LVZ655409 MFU655409:MFV655409 MPQ655409:MPR655409 MZM655409:MZN655409 NJI655409:NJJ655409 NTE655409:NTF655409 ODA655409:ODB655409 OMW655409:OMX655409 OWS655409:OWT655409 PGO655409:PGP655409 PQK655409:PQL655409 QAG655409:QAH655409 QKC655409:QKD655409 QTY655409:QTZ655409 RDU655409:RDV655409 RNQ655409:RNR655409 RXM655409:RXN655409 SHI655409:SHJ655409 SRE655409:SRF655409 TBA655409:TBB655409 TKW655409:TKX655409 TUS655409:TUT655409 UEO655409:UEP655409 UOK655409:UOL655409 UYG655409:UYH655409 VIC655409:VID655409 VRY655409:VRZ655409 WBU655409:WBV655409 WLQ655409:WLR655409 WVM655409:WVN655409 E720945:F720945 JA720945:JB720945 SW720945:SX720945 ACS720945:ACT720945 AMO720945:AMP720945 AWK720945:AWL720945 BGG720945:BGH720945 BQC720945:BQD720945 BZY720945:BZZ720945 CJU720945:CJV720945 CTQ720945:CTR720945 DDM720945:DDN720945 DNI720945:DNJ720945 DXE720945:DXF720945 EHA720945:EHB720945 EQW720945:EQX720945 FAS720945:FAT720945 FKO720945:FKP720945 FUK720945:FUL720945 GEG720945:GEH720945 GOC720945:GOD720945 GXY720945:GXZ720945 HHU720945:HHV720945 HRQ720945:HRR720945 IBM720945:IBN720945 ILI720945:ILJ720945 IVE720945:IVF720945 JFA720945:JFB720945 JOW720945:JOX720945 JYS720945:JYT720945 KIO720945:KIP720945 KSK720945:KSL720945 LCG720945:LCH720945 LMC720945:LMD720945 LVY720945:LVZ720945 MFU720945:MFV720945 MPQ720945:MPR720945 MZM720945:MZN720945 NJI720945:NJJ720945 NTE720945:NTF720945 ODA720945:ODB720945 OMW720945:OMX720945 OWS720945:OWT720945 PGO720945:PGP720945 PQK720945:PQL720945 QAG720945:QAH720945 QKC720945:QKD720945 QTY720945:QTZ720945 RDU720945:RDV720945 RNQ720945:RNR720945 RXM720945:RXN720945 SHI720945:SHJ720945 SRE720945:SRF720945 TBA720945:TBB720945 TKW720945:TKX720945 TUS720945:TUT720945 UEO720945:UEP720945 UOK720945:UOL720945 UYG720945:UYH720945 VIC720945:VID720945 VRY720945:VRZ720945 WBU720945:WBV720945 WLQ720945:WLR720945 WVM720945:WVN720945 E786481:F786481 JA786481:JB786481 SW786481:SX786481 ACS786481:ACT786481 AMO786481:AMP786481 AWK786481:AWL786481 BGG786481:BGH786481 BQC786481:BQD786481 BZY786481:BZZ786481 CJU786481:CJV786481 CTQ786481:CTR786481 DDM786481:DDN786481 DNI786481:DNJ786481 DXE786481:DXF786481 EHA786481:EHB786481 EQW786481:EQX786481 FAS786481:FAT786481 FKO786481:FKP786481 FUK786481:FUL786481 GEG786481:GEH786481 GOC786481:GOD786481 GXY786481:GXZ786481 HHU786481:HHV786481 HRQ786481:HRR786481 IBM786481:IBN786481 ILI786481:ILJ786481 IVE786481:IVF786481 JFA786481:JFB786481 JOW786481:JOX786481 JYS786481:JYT786481 KIO786481:KIP786481 KSK786481:KSL786481 LCG786481:LCH786481 LMC786481:LMD786481 LVY786481:LVZ786481 MFU786481:MFV786481 MPQ786481:MPR786481 MZM786481:MZN786481 NJI786481:NJJ786481 NTE786481:NTF786481 ODA786481:ODB786481 OMW786481:OMX786481 OWS786481:OWT786481 PGO786481:PGP786481 PQK786481:PQL786481 QAG786481:QAH786481 QKC786481:QKD786481 QTY786481:QTZ786481 RDU786481:RDV786481 RNQ786481:RNR786481 RXM786481:RXN786481 SHI786481:SHJ786481 SRE786481:SRF786481 TBA786481:TBB786481 TKW786481:TKX786481 TUS786481:TUT786481 UEO786481:UEP786481 UOK786481:UOL786481 UYG786481:UYH786481 VIC786481:VID786481 VRY786481:VRZ786481 WBU786481:WBV786481 WLQ786481:WLR786481 WVM786481:WVN786481 E852017:F852017 JA852017:JB852017 SW852017:SX852017 ACS852017:ACT852017 AMO852017:AMP852017 AWK852017:AWL852017 BGG852017:BGH852017 BQC852017:BQD852017 BZY852017:BZZ852017 CJU852017:CJV852017 CTQ852017:CTR852017 DDM852017:DDN852017 DNI852017:DNJ852017 DXE852017:DXF852017 EHA852017:EHB852017 EQW852017:EQX852017 FAS852017:FAT852017 FKO852017:FKP852017 FUK852017:FUL852017 GEG852017:GEH852017 GOC852017:GOD852017 GXY852017:GXZ852017 HHU852017:HHV852017 HRQ852017:HRR852017 IBM852017:IBN852017 ILI852017:ILJ852017 IVE852017:IVF852017 JFA852017:JFB852017 JOW852017:JOX852017 JYS852017:JYT852017 KIO852017:KIP852017 KSK852017:KSL852017 LCG852017:LCH852017 LMC852017:LMD852017 LVY852017:LVZ852017 MFU852017:MFV852017 MPQ852017:MPR852017 MZM852017:MZN852017 NJI852017:NJJ852017 NTE852017:NTF852017 ODA852017:ODB852017 OMW852017:OMX852017 OWS852017:OWT852017 PGO852017:PGP852017 PQK852017:PQL852017 QAG852017:QAH852017 QKC852017:QKD852017 QTY852017:QTZ852017 RDU852017:RDV852017 RNQ852017:RNR852017 RXM852017:RXN852017 SHI852017:SHJ852017 SRE852017:SRF852017 TBA852017:TBB852017 TKW852017:TKX852017 TUS852017:TUT852017 UEO852017:UEP852017 UOK852017:UOL852017 UYG852017:UYH852017 VIC852017:VID852017 VRY852017:VRZ852017 WBU852017:WBV852017 WLQ852017:WLR852017 WVM852017:WVN852017 E917553:F917553 JA917553:JB917553 SW917553:SX917553 ACS917553:ACT917553 AMO917553:AMP917553 AWK917553:AWL917553 BGG917553:BGH917553 BQC917553:BQD917553 BZY917553:BZZ917553 CJU917553:CJV917553 CTQ917553:CTR917553 DDM917553:DDN917553 DNI917553:DNJ917553 DXE917553:DXF917553 EHA917553:EHB917553 EQW917553:EQX917553 FAS917553:FAT917553 FKO917553:FKP917553 FUK917553:FUL917553 GEG917553:GEH917553 GOC917553:GOD917553 GXY917553:GXZ917553 HHU917553:HHV917553 HRQ917553:HRR917553 IBM917553:IBN917553 ILI917553:ILJ917553 IVE917553:IVF917553 JFA917553:JFB917553 JOW917553:JOX917553 JYS917553:JYT917553 KIO917553:KIP917553 KSK917553:KSL917553 LCG917553:LCH917553 LMC917553:LMD917553 LVY917553:LVZ917553 MFU917553:MFV917553 MPQ917553:MPR917553 MZM917553:MZN917553 NJI917553:NJJ917553 NTE917553:NTF917553 ODA917553:ODB917553 OMW917553:OMX917553 OWS917553:OWT917553 PGO917553:PGP917553 PQK917553:PQL917553 QAG917553:QAH917553 QKC917553:QKD917553 QTY917553:QTZ917553 RDU917553:RDV917553 RNQ917553:RNR917553 RXM917553:RXN917553 SHI917553:SHJ917553 SRE917553:SRF917553 TBA917553:TBB917553 TKW917553:TKX917553 TUS917553:TUT917553 UEO917553:UEP917553 UOK917553:UOL917553 UYG917553:UYH917553 VIC917553:VID917553 VRY917553:VRZ917553 WBU917553:WBV917553 WLQ917553:WLR917553 WVM917553:WVN917553 E983089:F983089 JA983089:JB983089 SW983089:SX983089 ACS983089:ACT983089 AMO983089:AMP983089 AWK983089:AWL983089 BGG983089:BGH983089 BQC983089:BQD983089 BZY983089:BZZ983089 CJU983089:CJV983089 CTQ983089:CTR983089 DDM983089:DDN983089 DNI983089:DNJ983089 DXE983089:DXF983089 EHA983089:EHB983089 EQW983089:EQX983089 FAS983089:FAT983089 FKO983089:FKP983089 FUK983089:FUL983089 GEG983089:GEH983089 GOC983089:GOD983089 GXY983089:GXZ983089 HHU983089:HHV983089 HRQ983089:HRR983089 IBM983089:IBN983089 ILI983089:ILJ983089 IVE983089:IVF983089 JFA983089:JFB983089 JOW983089:JOX983089 JYS983089:JYT983089 KIO983089:KIP983089 KSK983089:KSL983089 LCG983089:LCH983089 LMC983089:LMD983089 LVY983089:LVZ983089 MFU983089:MFV983089 MPQ983089:MPR983089 MZM983089:MZN983089 NJI983089:NJJ983089 NTE983089:NTF983089 ODA983089:ODB983089 OMW983089:OMX983089 OWS983089:OWT983089 PGO983089:PGP983089 PQK983089:PQL983089 QAG983089:QAH983089 QKC983089:QKD983089 QTY983089:QTZ983089 RDU983089:RDV983089 RNQ983089:RNR983089 RXM983089:RXN983089 SHI983089:SHJ983089 SRE983089:SRF983089 TBA983089:TBB983089 TKW983089:TKX983089 TUS983089:TUT983089 UEO983089:UEP983089 UOK983089:UOL983089 UYG983089:UYH983089 VIC983089:VID983089 VRY983089:VRZ983089 WBU983089:WBV983089 WLQ983089:WLR983089 WVM983089:WVN983089 E79:F79 JA79:JB79 SW79:SX79 ACS79:ACT79 AMO79:AMP79 AWK79:AWL79 BGG79:BGH79 BQC79:BQD79 BZY79:BZZ79 CJU79:CJV79 CTQ79:CTR79 DDM79:DDN79 DNI79:DNJ79 DXE79:DXF79 EHA79:EHB79 EQW79:EQX79 FAS79:FAT79 FKO79:FKP79 FUK79:FUL79 GEG79:GEH79 GOC79:GOD79 GXY79:GXZ79 HHU79:HHV79 HRQ79:HRR79 IBM79:IBN79 ILI79:ILJ79 IVE79:IVF79 JFA79:JFB79 JOW79:JOX79 JYS79:JYT79 KIO79:KIP79 KSK79:KSL79 LCG79:LCH79 LMC79:LMD79 LVY79:LVZ79 MFU79:MFV79 MPQ79:MPR79 MZM79:MZN79 NJI79:NJJ79 NTE79:NTF79 ODA79:ODB79 OMW79:OMX79 OWS79:OWT79 PGO79:PGP79 PQK79:PQL79 QAG79:QAH79 QKC79:QKD79 QTY79:QTZ79 RDU79:RDV79 RNQ79:RNR79 RXM79:RXN79 SHI79:SHJ79 SRE79:SRF79 TBA79:TBB79 TKW79:TKX79 TUS79:TUT79 UEO79:UEP79 UOK79:UOL79 UYG79:UYH79 VIC79:VID79 VRY79:VRZ79 WBU79:WBV79 WLQ79:WLR79 WVM79:WVN79 E65615:F65615 JA65615:JB65615 SW65615:SX65615 ACS65615:ACT65615 AMO65615:AMP65615 AWK65615:AWL65615 BGG65615:BGH65615 BQC65615:BQD65615 BZY65615:BZZ65615 CJU65615:CJV65615 CTQ65615:CTR65615 DDM65615:DDN65615 DNI65615:DNJ65615 DXE65615:DXF65615 EHA65615:EHB65615 EQW65615:EQX65615 FAS65615:FAT65615 FKO65615:FKP65615 FUK65615:FUL65615 GEG65615:GEH65615 GOC65615:GOD65615 GXY65615:GXZ65615 HHU65615:HHV65615 HRQ65615:HRR65615 IBM65615:IBN65615 ILI65615:ILJ65615 IVE65615:IVF65615 JFA65615:JFB65615 JOW65615:JOX65615 JYS65615:JYT65615 KIO65615:KIP65615 KSK65615:KSL65615 LCG65615:LCH65615 LMC65615:LMD65615 LVY65615:LVZ65615 MFU65615:MFV65615 MPQ65615:MPR65615 MZM65615:MZN65615 NJI65615:NJJ65615 NTE65615:NTF65615 ODA65615:ODB65615 OMW65615:OMX65615 OWS65615:OWT65615 PGO65615:PGP65615 PQK65615:PQL65615 QAG65615:QAH65615 QKC65615:QKD65615 QTY65615:QTZ65615 RDU65615:RDV65615 RNQ65615:RNR65615 RXM65615:RXN65615 SHI65615:SHJ65615 SRE65615:SRF65615 TBA65615:TBB65615 TKW65615:TKX65615 TUS65615:TUT65615 UEO65615:UEP65615 UOK65615:UOL65615 UYG65615:UYH65615 VIC65615:VID65615 VRY65615:VRZ65615 WBU65615:WBV65615 WLQ65615:WLR65615 WVM65615:WVN65615 E131151:F131151 JA131151:JB131151 SW131151:SX131151 ACS131151:ACT131151 AMO131151:AMP131151 AWK131151:AWL131151 BGG131151:BGH131151 BQC131151:BQD131151 BZY131151:BZZ131151 CJU131151:CJV131151 CTQ131151:CTR131151 DDM131151:DDN131151 DNI131151:DNJ131151 DXE131151:DXF131151 EHA131151:EHB131151 EQW131151:EQX131151 FAS131151:FAT131151 FKO131151:FKP131151 FUK131151:FUL131151 GEG131151:GEH131151 GOC131151:GOD131151 GXY131151:GXZ131151 HHU131151:HHV131151 HRQ131151:HRR131151 IBM131151:IBN131151 ILI131151:ILJ131151 IVE131151:IVF131151 JFA131151:JFB131151 JOW131151:JOX131151 JYS131151:JYT131151 KIO131151:KIP131151 KSK131151:KSL131151 LCG131151:LCH131151 LMC131151:LMD131151 LVY131151:LVZ131151 MFU131151:MFV131151 MPQ131151:MPR131151 MZM131151:MZN131151 NJI131151:NJJ131151 NTE131151:NTF131151 ODA131151:ODB131151 OMW131151:OMX131151 OWS131151:OWT131151 PGO131151:PGP131151 PQK131151:PQL131151 QAG131151:QAH131151 QKC131151:QKD131151 QTY131151:QTZ131151 RDU131151:RDV131151 RNQ131151:RNR131151 RXM131151:RXN131151 SHI131151:SHJ131151 SRE131151:SRF131151 TBA131151:TBB131151 TKW131151:TKX131151 TUS131151:TUT131151 UEO131151:UEP131151 UOK131151:UOL131151 UYG131151:UYH131151 VIC131151:VID131151 VRY131151:VRZ131151 WBU131151:WBV131151 WLQ131151:WLR131151 WVM131151:WVN131151 E196687:F196687 JA196687:JB196687 SW196687:SX196687 ACS196687:ACT196687 AMO196687:AMP196687 AWK196687:AWL196687 BGG196687:BGH196687 BQC196687:BQD196687 BZY196687:BZZ196687 CJU196687:CJV196687 CTQ196687:CTR196687 DDM196687:DDN196687 DNI196687:DNJ196687 DXE196687:DXF196687 EHA196687:EHB196687 EQW196687:EQX196687 FAS196687:FAT196687 FKO196687:FKP196687 FUK196687:FUL196687 GEG196687:GEH196687 GOC196687:GOD196687 GXY196687:GXZ196687 HHU196687:HHV196687 HRQ196687:HRR196687 IBM196687:IBN196687 ILI196687:ILJ196687 IVE196687:IVF196687 JFA196687:JFB196687 JOW196687:JOX196687 JYS196687:JYT196687 KIO196687:KIP196687 KSK196687:KSL196687 LCG196687:LCH196687 LMC196687:LMD196687 LVY196687:LVZ196687 MFU196687:MFV196687 MPQ196687:MPR196687 MZM196687:MZN196687 NJI196687:NJJ196687 NTE196687:NTF196687 ODA196687:ODB196687 OMW196687:OMX196687 OWS196687:OWT196687 PGO196687:PGP196687 PQK196687:PQL196687 QAG196687:QAH196687 QKC196687:QKD196687 QTY196687:QTZ196687 RDU196687:RDV196687 RNQ196687:RNR196687 RXM196687:RXN196687 SHI196687:SHJ196687 SRE196687:SRF196687 TBA196687:TBB196687 TKW196687:TKX196687 TUS196687:TUT196687 UEO196687:UEP196687 UOK196687:UOL196687 UYG196687:UYH196687 VIC196687:VID196687 VRY196687:VRZ196687 WBU196687:WBV196687 WLQ196687:WLR196687 WVM196687:WVN196687 E262223:F262223 JA262223:JB262223 SW262223:SX262223 ACS262223:ACT262223 AMO262223:AMP262223 AWK262223:AWL262223 BGG262223:BGH262223 BQC262223:BQD262223 BZY262223:BZZ262223 CJU262223:CJV262223 CTQ262223:CTR262223 DDM262223:DDN262223 DNI262223:DNJ262223 DXE262223:DXF262223 EHA262223:EHB262223 EQW262223:EQX262223 FAS262223:FAT262223 FKO262223:FKP262223 FUK262223:FUL262223 GEG262223:GEH262223 GOC262223:GOD262223 GXY262223:GXZ262223 HHU262223:HHV262223 HRQ262223:HRR262223 IBM262223:IBN262223 ILI262223:ILJ262223 IVE262223:IVF262223 JFA262223:JFB262223 JOW262223:JOX262223 JYS262223:JYT262223 KIO262223:KIP262223 KSK262223:KSL262223 LCG262223:LCH262223 LMC262223:LMD262223 LVY262223:LVZ262223 MFU262223:MFV262223 MPQ262223:MPR262223 MZM262223:MZN262223 NJI262223:NJJ262223 NTE262223:NTF262223 ODA262223:ODB262223 OMW262223:OMX262223 OWS262223:OWT262223 PGO262223:PGP262223 PQK262223:PQL262223 QAG262223:QAH262223 QKC262223:QKD262223 QTY262223:QTZ262223 RDU262223:RDV262223 RNQ262223:RNR262223 RXM262223:RXN262223 SHI262223:SHJ262223 SRE262223:SRF262223 TBA262223:TBB262223 TKW262223:TKX262223 TUS262223:TUT262223 UEO262223:UEP262223 UOK262223:UOL262223 UYG262223:UYH262223 VIC262223:VID262223 VRY262223:VRZ262223 WBU262223:WBV262223 WLQ262223:WLR262223 WVM262223:WVN262223 E327759:F327759 JA327759:JB327759 SW327759:SX327759 ACS327759:ACT327759 AMO327759:AMP327759 AWK327759:AWL327759 BGG327759:BGH327759 BQC327759:BQD327759 BZY327759:BZZ327759 CJU327759:CJV327759 CTQ327759:CTR327759 DDM327759:DDN327759 DNI327759:DNJ327759 DXE327759:DXF327759 EHA327759:EHB327759 EQW327759:EQX327759 FAS327759:FAT327759 FKO327759:FKP327759 FUK327759:FUL327759 GEG327759:GEH327759 GOC327759:GOD327759 GXY327759:GXZ327759 HHU327759:HHV327759 HRQ327759:HRR327759 IBM327759:IBN327759 ILI327759:ILJ327759 IVE327759:IVF327759 JFA327759:JFB327759 JOW327759:JOX327759 JYS327759:JYT327759 KIO327759:KIP327759 KSK327759:KSL327759 LCG327759:LCH327759 LMC327759:LMD327759 LVY327759:LVZ327759 MFU327759:MFV327759 MPQ327759:MPR327759 MZM327759:MZN327759 NJI327759:NJJ327759 NTE327759:NTF327759 ODA327759:ODB327759 OMW327759:OMX327759 OWS327759:OWT327759 PGO327759:PGP327759 PQK327759:PQL327759 QAG327759:QAH327759 QKC327759:QKD327759 QTY327759:QTZ327759 RDU327759:RDV327759 RNQ327759:RNR327759 RXM327759:RXN327759 SHI327759:SHJ327759 SRE327759:SRF327759 TBA327759:TBB327759 TKW327759:TKX327759 TUS327759:TUT327759 UEO327759:UEP327759 UOK327759:UOL327759 UYG327759:UYH327759 VIC327759:VID327759 VRY327759:VRZ327759 WBU327759:WBV327759 WLQ327759:WLR327759 WVM327759:WVN327759 E393295:F393295 JA393295:JB393295 SW393295:SX393295 ACS393295:ACT393295 AMO393295:AMP393295 AWK393295:AWL393295 BGG393295:BGH393295 BQC393295:BQD393295 BZY393295:BZZ393295 CJU393295:CJV393295 CTQ393295:CTR393295 DDM393295:DDN393295 DNI393295:DNJ393295 DXE393295:DXF393295 EHA393295:EHB393295 EQW393295:EQX393295 FAS393295:FAT393295 FKO393295:FKP393295 FUK393295:FUL393295 GEG393295:GEH393295 GOC393295:GOD393295 GXY393295:GXZ393295 HHU393295:HHV393295 HRQ393295:HRR393295 IBM393295:IBN393295 ILI393295:ILJ393295 IVE393295:IVF393295 JFA393295:JFB393295 JOW393295:JOX393295 JYS393295:JYT393295 KIO393295:KIP393295 KSK393295:KSL393295 LCG393295:LCH393295 LMC393295:LMD393295 LVY393295:LVZ393295 MFU393295:MFV393295 MPQ393295:MPR393295 MZM393295:MZN393295 NJI393295:NJJ393295 NTE393295:NTF393295 ODA393295:ODB393295 OMW393295:OMX393295 OWS393295:OWT393295 PGO393295:PGP393295 PQK393295:PQL393295 QAG393295:QAH393295 QKC393295:QKD393295 QTY393295:QTZ393295 RDU393295:RDV393295 RNQ393295:RNR393295 RXM393295:RXN393295 SHI393295:SHJ393295 SRE393295:SRF393295 TBA393295:TBB393295 TKW393295:TKX393295 TUS393295:TUT393295 UEO393295:UEP393295 UOK393295:UOL393295 UYG393295:UYH393295 VIC393295:VID393295 VRY393295:VRZ393295 WBU393295:WBV393295 WLQ393295:WLR393295 WVM393295:WVN393295 E458831:F458831 JA458831:JB458831 SW458831:SX458831 ACS458831:ACT458831 AMO458831:AMP458831 AWK458831:AWL458831 BGG458831:BGH458831 BQC458831:BQD458831 BZY458831:BZZ458831 CJU458831:CJV458831 CTQ458831:CTR458831 DDM458831:DDN458831 DNI458831:DNJ458831 DXE458831:DXF458831 EHA458831:EHB458831 EQW458831:EQX458831 FAS458831:FAT458831 FKO458831:FKP458831 FUK458831:FUL458831 GEG458831:GEH458831 GOC458831:GOD458831 GXY458831:GXZ458831 HHU458831:HHV458831 HRQ458831:HRR458831 IBM458831:IBN458831 ILI458831:ILJ458831 IVE458831:IVF458831 JFA458831:JFB458831 JOW458831:JOX458831 JYS458831:JYT458831 KIO458831:KIP458831 KSK458831:KSL458831 LCG458831:LCH458831 LMC458831:LMD458831 LVY458831:LVZ458831 MFU458831:MFV458831 MPQ458831:MPR458831 MZM458831:MZN458831 NJI458831:NJJ458831 NTE458831:NTF458831 ODA458831:ODB458831 OMW458831:OMX458831 OWS458831:OWT458831 PGO458831:PGP458831 PQK458831:PQL458831 QAG458831:QAH458831 QKC458831:QKD458831 QTY458831:QTZ458831 RDU458831:RDV458831 RNQ458831:RNR458831 RXM458831:RXN458831 SHI458831:SHJ458831 SRE458831:SRF458831 TBA458831:TBB458831 TKW458831:TKX458831 TUS458831:TUT458831 UEO458831:UEP458831 UOK458831:UOL458831 UYG458831:UYH458831 VIC458831:VID458831 VRY458831:VRZ458831 WBU458831:WBV458831 WLQ458831:WLR458831 WVM458831:WVN458831 E524367:F524367 JA524367:JB524367 SW524367:SX524367 ACS524367:ACT524367 AMO524367:AMP524367 AWK524367:AWL524367 BGG524367:BGH524367 BQC524367:BQD524367 BZY524367:BZZ524367 CJU524367:CJV524367 CTQ524367:CTR524367 DDM524367:DDN524367 DNI524367:DNJ524367 DXE524367:DXF524367 EHA524367:EHB524367 EQW524367:EQX524367 FAS524367:FAT524367 FKO524367:FKP524367 FUK524367:FUL524367 GEG524367:GEH524367 GOC524367:GOD524367 GXY524367:GXZ524367 HHU524367:HHV524367 HRQ524367:HRR524367 IBM524367:IBN524367 ILI524367:ILJ524367 IVE524367:IVF524367 JFA524367:JFB524367 JOW524367:JOX524367 JYS524367:JYT524367 KIO524367:KIP524367 KSK524367:KSL524367 LCG524367:LCH524367 LMC524367:LMD524367 LVY524367:LVZ524367 MFU524367:MFV524367 MPQ524367:MPR524367 MZM524367:MZN524367 NJI524367:NJJ524367 NTE524367:NTF524367 ODA524367:ODB524367 OMW524367:OMX524367 OWS524367:OWT524367 PGO524367:PGP524367 PQK524367:PQL524367 QAG524367:QAH524367 QKC524367:QKD524367 QTY524367:QTZ524367 RDU524367:RDV524367 RNQ524367:RNR524367 RXM524367:RXN524367 SHI524367:SHJ524367 SRE524367:SRF524367 TBA524367:TBB524367 TKW524367:TKX524367 TUS524367:TUT524367 UEO524367:UEP524367 UOK524367:UOL524367 UYG524367:UYH524367 VIC524367:VID524367 VRY524367:VRZ524367 WBU524367:WBV524367 WLQ524367:WLR524367 WVM524367:WVN524367 E589903:F589903 JA589903:JB589903 SW589903:SX589903 ACS589903:ACT589903 AMO589903:AMP589903 AWK589903:AWL589903 BGG589903:BGH589903 BQC589903:BQD589903 BZY589903:BZZ589903 CJU589903:CJV589903 CTQ589903:CTR589903 DDM589903:DDN589903 DNI589903:DNJ589903 DXE589903:DXF589903 EHA589903:EHB589903 EQW589903:EQX589903 FAS589903:FAT589903 FKO589903:FKP589903 FUK589903:FUL589903 GEG589903:GEH589903 GOC589903:GOD589903 GXY589903:GXZ589903 HHU589903:HHV589903 HRQ589903:HRR589903 IBM589903:IBN589903 ILI589903:ILJ589903 IVE589903:IVF589903 JFA589903:JFB589903 JOW589903:JOX589903 JYS589903:JYT589903 KIO589903:KIP589903 KSK589903:KSL589903 LCG589903:LCH589903 LMC589903:LMD589903 LVY589903:LVZ589903 MFU589903:MFV589903 MPQ589903:MPR589903 MZM589903:MZN589903 NJI589903:NJJ589903 NTE589903:NTF589903 ODA589903:ODB589903 OMW589903:OMX589903 OWS589903:OWT589903 PGO589903:PGP589903 PQK589903:PQL589903 QAG589903:QAH589903 QKC589903:QKD589903 QTY589903:QTZ589903 RDU589903:RDV589903 RNQ589903:RNR589903 RXM589903:RXN589903 SHI589903:SHJ589903 SRE589903:SRF589903 TBA589903:TBB589903 TKW589903:TKX589903 TUS589903:TUT589903 UEO589903:UEP589903 UOK589903:UOL589903 UYG589903:UYH589903 VIC589903:VID589903 VRY589903:VRZ589903 WBU589903:WBV589903 WLQ589903:WLR589903 WVM589903:WVN589903 E655439:F655439 JA655439:JB655439 SW655439:SX655439 ACS655439:ACT655439 AMO655439:AMP655439 AWK655439:AWL655439 BGG655439:BGH655439 BQC655439:BQD655439 BZY655439:BZZ655439 CJU655439:CJV655439 CTQ655439:CTR655439 DDM655439:DDN655439 DNI655439:DNJ655439 DXE655439:DXF655439 EHA655439:EHB655439 EQW655439:EQX655439 FAS655439:FAT655439 FKO655439:FKP655439 FUK655439:FUL655439 GEG655439:GEH655439 GOC655439:GOD655439 GXY655439:GXZ655439 HHU655439:HHV655439 HRQ655439:HRR655439 IBM655439:IBN655439 ILI655439:ILJ655439 IVE655439:IVF655439 JFA655439:JFB655439 JOW655439:JOX655439 JYS655439:JYT655439 KIO655439:KIP655439 KSK655439:KSL655439 LCG655439:LCH655439 LMC655439:LMD655439 LVY655439:LVZ655439 MFU655439:MFV655439 MPQ655439:MPR655439 MZM655439:MZN655439 NJI655439:NJJ655439 NTE655439:NTF655439 ODA655439:ODB655439 OMW655439:OMX655439 OWS655439:OWT655439 PGO655439:PGP655439 PQK655439:PQL655439 QAG655439:QAH655439 QKC655439:QKD655439 QTY655439:QTZ655439 RDU655439:RDV655439 RNQ655439:RNR655439 RXM655439:RXN655439 SHI655439:SHJ655439 SRE655439:SRF655439 TBA655439:TBB655439 TKW655439:TKX655439 TUS655439:TUT655439 UEO655439:UEP655439 UOK655439:UOL655439 UYG655439:UYH655439 VIC655439:VID655439 VRY655439:VRZ655439 WBU655439:WBV655439 WLQ655439:WLR655439 WVM655439:WVN655439 E720975:F720975 JA720975:JB720975 SW720975:SX720975 ACS720975:ACT720975 AMO720975:AMP720975 AWK720975:AWL720975 BGG720975:BGH720975 BQC720975:BQD720975 BZY720975:BZZ720975 CJU720975:CJV720975 CTQ720975:CTR720975 DDM720975:DDN720975 DNI720975:DNJ720975 DXE720975:DXF720975 EHA720975:EHB720975 EQW720975:EQX720975 FAS720975:FAT720975 FKO720975:FKP720975 FUK720975:FUL720975 GEG720975:GEH720975 GOC720975:GOD720975 GXY720975:GXZ720975 HHU720975:HHV720975 HRQ720975:HRR720975 IBM720975:IBN720975 ILI720975:ILJ720975 IVE720975:IVF720975 JFA720975:JFB720975 JOW720975:JOX720975 JYS720975:JYT720975 KIO720975:KIP720975 KSK720975:KSL720975 LCG720975:LCH720975 LMC720975:LMD720975 LVY720975:LVZ720975 MFU720975:MFV720975 MPQ720975:MPR720975 MZM720975:MZN720975 NJI720975:NJJ720975 NTE720975:NTF720975 ODA720975:ODB720975 OMW720975:OMX720975 OWS720975:OWT720975 PGO720975:PGP720975 PQK720975:PQL720975 QAG720975:QAH720975 QKC720975:QKD720975 QTY720975:QTZ720975 RDU720975:RDV720975 RNQ720975:RNR720975 RXM720975:RXN720975 SHI720975:SHJ720975 SRE720975:SRF720975 TBA720975:TBB720975 TKW720975:TKX720975 TUS720975:TUT720975 UEO720975:UEP720975 UOK720975:UOL720975 UYG720975:UYH720975 VIC720975:VID720975 VRY720975:VRZ720975 WBU720975:WBV720975 WLQ720975:WLR720975 WVM720975:WVN720975 E786511:F786511 JA786511:JB786511 SW786511:SX786511 ACS786511:ACT786511 AMO786511:AMP786511 AWK786511:AWL786511 BGG786511:BGH786511 BQC786511:BQD786511 BZY786511:BZZ786511 CJU786511:CJV786511 CTQ786511:CTR786511 DDM786511:DDN786511 DNI786511:DNJ786511 DXE786511:DXF786511 EHA786511:EHB786511 EQW786511:EQX786511 FAS786511:FAT786511 FKO786511:FKP786511 FUK786511:FUL786511 GEG786511:GEH786511 GOC786511:GOD786511 GXY786511:GXZ786511 HHU786511:HHV786511 HRQ786511:HRR786511 IBM786511:IBN786511 ILI786511:ILJ786511 IVE786511:IVF786511 JFA786511:JFB786511 JOW786511:JOX786511 JYS786511:JYT786511 KIO786511:KIP786511 KSK786511:KSL786511 LCG786511:LCH786511 LMC786511:LMD786511 LVY786511:LVZ786511 MFU786511:MFV786511 MPQ786511:MPR786511 MZM786511:MZN786511 NJI786511:NJJ786511 NTE786511:NTF786511 ODA786511:ODB786511 OMW786511:OMX786511 OWS786511:OWT786511 PGO786511:PGP786511 PQK786511:PQL786511 QAG786511:QAH786511 QKC786511:QKD786511 QTY786511:QTZ786511 RDU786511:RDV786511 RNQ786511:RNR786511 RXM786511:RXN786511 SHI786511:SHJ786511 SRE786511:SRF786511 TBA786511:TBB786511 TKW786511:TKX786511 TUS786511:TUT786511 UEO786511:UEP786511 UOK786511:UOL786511 UYG786511:UYH786511 VIC786511:VID786511 VRY786511:VRZ786511 WBU786511:WBV786511 WLQ786511:WLR786511 WVM786511:WVN786511 E852047:F852047 JA852047:JB852047 SW852047:SX852047 ACS852047:ACT852047 AMO852047:AMP852047 AWK852047:AWL852047 BGG852047:BGH852047 BQC852047:BQD852047 BZY852047:BZZ852047 CJU852047:CJV852047 CTQ852047:CTR852047 DDM852047:DDN852047 DNI852047:DNJ852047 DXE852047:DXF852047 EHA852047:EHB852047 EQW852047:EQX852047 FAS852047:FAT852047 FKO852047:FKP852047 FUK852047:FUL852047 GEG852047:GEH852047 GOC852047:GOD852047 GXY852047:GXZ852047 HHU852047:HHV852047 HRQ852047:HRR852047 IBM852047:IBN852047 ILI852047:ILJ852047 IVE852047:IVF852047 JFA852047:JFB852047 JOW852047:JOX852047 JYS852047:JYT852047 KIO852047:KIP852047 KSK852047:KSL852047 LCG852047:LCH852047 LMC852047:LMD852047 LVY852047:LVZ852047 MFU852047:MFV852047 MPQ852047:MPR852047 MZM852047:MZN852047 NJI852047:NJJ852047 NTE852047:NTF852047 ODA852047:ODB852047 OMW852047:OMX852047 OWS852047:OWT852047 PGO852047:PGP852047 PQK852047:PQL852047 QAG852047:QAH852047 QKC852047:QKD852047 QTY852047:QTZ852047 RDU852047:RDV852047 RNQ852047:RNR852047 RXM852047:RXN852047 SHI852047:SHJ852047 SRE852047:SRF852047 TBA852047:TBB852047 TKW852047:TKX852047 TUS852047:TUT852047 UEO852047:UEP852047 UOK852047:UOL852047 UYG852047:UYH852047 VIC852047:VID852047 VRY852047:VRZ852047 WBU852047:WBV852047 WLQ852047:WLR852047 WVM852047:WVN852047 E917583:F917583 JA917583:JB917583 SW917583:SX917583 ACS917583:ACT917583 AMO917583:AMP917583 AWK917583:AWL917583 BGG917583:BGH917583 BQC917583:BQD917583 BZY917583:BZZ917583 CJU917583:CJV917583 CTQ917583:CTR917583 DDM917583:DDN917583 DNI917583:DNJ917583 DXE917583:DXF917583 EHA917583:EHB917583 EQW917583:EQX917583 FAS917583:FAT917583 FKO917583:FKP917583 FUK917583:FUL917583 GEG917583:GEH917583 GOC917583:GOD917583 GXY917583:GXZ917583 HHU917583:HHV917583 HRQ917583:HRR917583 IBM917583:IBN917583 ILI917583:ILJ917583 IVE917583:IVF917583 JFA917583:JFB917583 JOW917583:JOX917583 JYS917583:JYT917583 KIO917583:KIP917583 KSK917583:KSL917583 LCG917583:LCH917583 LMC917583:LMD917583 LVY917583:LVZ917583 MFU917583:MFV917583 MPQ917583:MPR917583 MZM917583:MZN917583 NJI917583:NJJ917583 NTE917583:NTF917583 ODA917583:ODB917583 OMW917583:OMX917583 OWS917583:OWT917583 PGO917583:PGP917583 PQK917583:PQL917583 QAG917583:QAH917583 QKC917583:QKD917583 QTY917583:QTZ917583 RDU917583:RDV917583 RNQ917583:RNR917583 RXM917583:RXN917583 SHI917583:SHJ917583 SRE917583:SRF917583 TBA917583:TBB917583 TKW917583:TKX917583 TUS917583:TUT917583 UEO917583:UEP917583 UOK917583:UOL917583 UYG917583:UYH917583 VIC917583:VID917583 VRY917583:VRZ917583 WBU917583:WBV917583 WLQ917583:WLR917583 WVM917583:WVN917583 E983119:F983119 JA983119:JB983119 SW983119:SX983119 ACS983119:ACT983119 AMO983119:AMP983119 AWK983119:AWL983119 BGG983119:BGH983119 BQC983119:BQD983119 BZY983119:BZZ983119 CJU983119:CJV983119 CTQ983119:CTR983119 DDM983119:DDN983119 DNI983119:DNJ983119 DXE983119:DXF983119 EHA983119:EHB983119 EQW983119:EQX983119 FAS983119:FAT983119 FKO983119:FKP983119 FUK983119:FUL983119 GEG983119:GEH983119 GOC983119:GOD983119 GXY983119:GXZ983119 HHU983119:HHV983119 HRQ983119:HRR983119 IBM983119:IBN983119 ILI983119:ILJ983119 IVE983119:IVF983119 JFA983119:JFB983119 JOW983119:JOX983119 JYS983119:JYT983119 KIO983119:KIP983119 KSK983119:KSL983119 LCG983119:LCH983119 LMC983119:LMD983119 LVY983119:LVZ983119 MFU983119:MFV983119 MPQ983119:MPR983119 MZM983119:MZN983119 NJI983119:NJJ983119 NTE983119:NTF983119 ODA983119:ODB983119 OMW983119:OMX983119 OWS983119:OWT983119 PGO983119:PGP983119 PQK983119:PQL983119 QAG983119:QAH983119 QKC983119:QKD983119 QTY983119:QTZ983119 RDU983119:RDV983119 RNQ983119:RNR983119 RXM983119:RXN983119 SHI983119:SHJ983119 SRE983119:SRF983119 TBA983119:TBB983119 TKW983119:TKX983119 TUS983119:TUT983119 UEO983119:UEP983119 UOK983119:UOL983119 UYG983119:UYH983119 VIC983119:VID983119 VRY983119:VRZ983119 WBU983119:WBV983119 WLQ983119:WLR983119 WVM983119:WVN983119 E83:F83 JA83:JB83 SW83:SX83 ACS83:ACT83 AMO83:AMP83 AWK83:AWL83 BGG83:BGH83 BQC83:BQD83 BZY83:BZZ83 CJU83:CJV83 CTQ83:CTR83 DDM83:DDN83 DNI83:DNJ83 DXE83:DXF83 EHA83:EHB83 EQW83:EQX83 FAS83:FAT83 FKO83:FKP83 FUK83:FUL83 GEG83:GEH83 GOC83:GOD83 GXY83:GXZ83 HHU83:HHV83 HRQ83:HRR83 IBM83:IBN83 ILI83:ILJ83 IVE83:IVF83 JFA83:JFB83 JOW83:JOX83 JYS83:JYT83 KIO83:KIP83 KSK83:KSL83 LCG83:LCH83 LMC83:LMD83 LVY83:LVZ83 MFU83:MFV83 MPQ83:MPR83 MZM83:MZN83 NJI83:NJJ83 NTE83:NTF83 ODA83:ODB83 OMW83:OMX83 OWS83:OWT83 PGO83:PGP83 PQK83:PQL83 QAG83:QAH83 QKC83:QKD83 QTY83:QTZ83 RDU83:RDV83 RNQ83:RNR83 RXM83:RXN83 SHI83:SHJ83 SRE83:SRF83 TBA83:TBB83 TKW83:TKX83 TUS83:TUT83 UEO83:UEP83 UOK83:UOL83 UYG83:UYH83 VIC83:VID83 VRY83:VRZ83 WBU83:WBV83 WLQ83:WLR83 WVM83:WVN83 E65619:F65619 JA65619:JB65619 SW65619:SX65619 ACS65619:ACT65619 AMO65619:AMP65619 AWK65619:AWL65619 BGG65619:BGH65619 BQC65619:BQD65619 BZY65619:BZZ65619 CJU65619:CJV65619 CTQ65619:CTR65619 DDM65619:DDN65619 DNI65619:DNJ65619 DXE65619:DXF65619 EHA65619:EHB65619 EQW65619:EQX65619 FAS65619:FAT65619 FKO65619:FKP65619 FUK65619:FUL65619 GEG65619:GEH65619 GOC65619:GOD65619 GXY65619:GXZ65619 HHU65619:HHV65619 HRQ65619:HRR65619 IBM65619:IBN65619 ILI65619:ILJ65619 IVE65619:IVF65619 JFA65619:JFB65619 JOW65619:JOX65619 JYS65619:JYT65619 KIO65619:KIP65619 KSK65619:KSL65619 LCG65619:LCH65619 LMC65619:LMD65619 LVY65619:LVZ65619 MFU65619:MFV65619 MPQ65619:MPR65619 MZM65619:MZN65619 NJI65619:NJJ65619 NTE65619:NTF65619 ODA65619:ODB65619 OMW65619:OMX65619 OWS65619:OWT65619 PGO65619:PGP65619 PQK65619:PQL65619 QAG65619:QAH65619 QKC65619:QKD65619 QTY65619:QTZ65619 RDU65619:RDV65619 RNQ65619:RNR65619 RXM65619:RXN65619 SHI65619:SHJ65619 SRE65619:SRF65619 TBA65619:TBB65619 TKW65619:TKX65619 TUS65619:TUT65619 UEO65619:UEP65619 UOK65619:UOL65619 UYG65619:UYH65619 VIC65619:VID65619 VRY65619:VRZ65619 WBU65619:WBV65619 WLQ65619:WLR65619 WVM65619:WVN65619 E131155:F131155 JA131155:JB131155 SW131155:SX131155 ACS131155:ACT131155 AMO131155:AMP131155 AWK131155:AWL131155 BGG131155:BGH131155 BQC131155:BQD131155 BZY131155:BZZ131155 CJU131155:CJV131155 CTQ131155:CTR131155 DDM131155:DDN131155 DNI131155:DNJ131155 DXE131155:DXF131155 EHA131155:EHB131155 EQW131155:EQX131155 FAS131155:FAT131155 FKO131155:FKP131155 FUK131155:FUL131155 GEG131155:GEH131155 GOC131155:GOD131155 GXY131155:GXZ131155 HHU131155:HHV131155 HRQ131155:HRR131155 IBM131155:IBN131155 ILI131155:ILJ131155 IVE131155:IVF131155 JFA131155:JFB131155 JOW131155:JOX131155 JYS131155:JYT131155 KIO131155:KIP131155 KSK131155:KSL131155 LCG131155:LCH131155 LMC131155:LMD131155 LVY131155:LVZ131155 MFU131155:MFV131155 MPQ131155:MPR131155 MZM131155:MZN131155 NJI131155:NJJ131155 NTE131155:NTF131155 ODA131155:ODB131155 OMW131155:OMX131155 OWS131155:OWT131155 PGO131155:PGP131155 PQK131155:PQL131155 QAG131155:QAH131155 QKC131155:QKD131155 QTY131155:QTZ131155 RDU131155:RDV131155 RNQ131155:RNR131155 RXM131155:RXN131155 SHI131155:SHJ131155 SRE131155:SRF131155 TBA131155:TBB131155 TKW131155:TKX131155 TUS131155:TUT131155 UEO131155:UEP131155 UOK131155:UOL131155 UYG131155:UYH131155 VIC131155:VID131155 VRY131155:VRZ131155 WBU131155:WBV131155 WLQ131155:WLR131155 WVM131155:WVN131155 E196691:F196691 JA196691:JB196691 SW196691:SX196691 ACS196691:ACT196691 AMO196691:AMP196691 AWK196691:AWL196691 BGG196691:BGH196691 BQC196691:BQD196691 BZY196691:BZZ196691 CJU196691:CJV196691 CTQ196691:CTR196691 DDM196691:DDN196691 DNI196691:DNJ196691 DXE196691:DXF196691 EHA196691:EHB196691 EQW196691:EQX196691 FAS196691:FAT196691 FKO196691:FKP196691 FUK196691:FUL196691 GEG196691:GEH196691 GOC196691:GOD196691 GXY196691:GXZ196691 HHU196691:HHV196691 HRQ196691:HRR196691 IBM196691:IBN196691 ILI196691:ILJ196691 IVE196691:IVF196691 JFA196691:JFB196691 JOW196691:JOX196691 JYS196691:JYT196691 KIO196691:KIP196691 KSK196691:KSL196691 LCG196691:LCH196691 LMC196691:LMD196691 LVY196691:LVZ196691 MFU196691:MFV196691 MPQ196691:MPR196691 MZM196691:MZN196691 NJI196691:NJJ196691 NTE196691:NTF196691 ODA196691:ODB196691 OMW196691:OMX196691 OWS196691:OWT196691 PGO196691:PGP196691 PQK196691:PQL196691 QAG196691:QAH196691 QKC196691:QKD196691 QTY196691:QTZ196691 RDU196691:RDV196691 RNQ196691:RNR196691 RXM196691:RXN196691 SHI196691:SHJ196691 SRE196691:SRF196691 TBA196691:TBB196691 TKW196691:TKX196691 TUS196691:TUT196691 UEO196691:UEP196691 UOK196691:UOL196691 UYG196691:UYH196691 VIC196691:VID196691 VRY196691:VRZ196691 WBU196691:WBV196691 WLQ196691:WLR196691 WVM196691:WVN196691 E262227:F262227 JA262227:JB262227 SW262227:SX262227 ACS262227:ACT262227 AMO262227:AMP262227 AWK262227:AWL262227 BGG262227:BGH262227 BQC262227:BQD262227 BZY262227:BZZ262227 CJU262227:CJV262227 CTQ262227:CTR262227 DDM262227:DDN262227 DNI262227:DNJ262227 DXE262227:DXF262227 EHA262227:EHB262227 EQW262227:EQX262227 FAS262227:FAT262227 FKO262227:FKP262227 FUK262227:FUL262227 GEG262227:GEH262227 GOC262227:GOD262227 GXY262227:GXZ262227 HHU262227:HHV262227 HRQ262227:HRR262227 IBM262227:IBN262227 ILI262227:ILJ262227 IVE262227:IVF262227 JFA262227:JFB262227 JOW262227:JOX262227 JYS262227:JYT262227 KIO262227:KIP262227 KSK262227:KSL262227 LCG262227:LCH262227 LMC262227:LMD262227 LVY262227:LVZ262227 MFU262227:MFV262227 MPQ262227:MPR262227 MZM262227:MZN262227 NJI262227:NJJ262227 NTE262227:NTF262227 ODA262227:ODB262227 OMW262227:OMX262227 OWS262227:OWT262227 PGO262227:PGP262227 PQK262227:PQL262227 QAG262227:QAH262227 QKC262227:QKD262227 QTY262227:QTZ262227 RDU262227:RDV262227 RNQ262227:RNR262227 RXM262227:RXN262227 SHI262227:SHJ262227 SRE262227:SRF262227 TBA262227:TBB262227 TKW262227:TKX262227 TUS262227:TUT262227 UEO262227:UEP262227 UOK262227:UOL262227 UYG262227:UYH262227 VIC262227:VID262227 VRY262227:VRZ262227 WBU262227:WBV262227 WLQ262227:WLR262227 WVM262227:WVN262227 E327763:F327763 JA327763:JB327763 SW327763:SX327763 ACS327763:ACT327763 AMO327763:AMP327763 AWK327763:AWL327763 BGG327763:BGH327763 BQC327763:BQD327763 BZY327763:BZZ327763 CJU327763:CJV327763 CTQ327763:CTR327763 DDM327763:DDN327763 DNI327763:DNJ327763 DXE327763:DXF327763 EHA327763:EHB327763 EQW327763:EQX327763 FAS327763:FAT327763 FKO327763:FKP327763 FUK327763:FUL327763 GEG327763:GEH327763 GOC327763:GOD327763 GXY327763:GXZ327763 HHU327763:HHV327763 HRQ327763:HRR327763 IBM327763:IBN327763 ILI327763:ILJ327763 IVE327763:IVF327763 JFA327763:JFB327763 JOW327763:JOX327763 JYS327763:JYT327763 KIO327763:KIP327763 KSK327763:KSL327763 LCG327763:LCH327763 LMC327763:LMD327763 LVY327763:LVZ327763 MFU327763:MFV327763 MPQ327763:MPR327763 MZM327763:MZN327763 NJI327763:NJJ327763 NTE327763:NTF327763 ODA327763:ODB327763 OMW327763:OMX327763 OWS327763:OWT327763 PGO327763:PGP327763 PQK327763:PQL327763 QAG327763:QAH327763 QKC327763:QKD327763 QTY327763:QTZ327763 RDU327763:RDV327763 RNQ327763:RNR327763 RXM327763:RXN327763 SHI327763:SHJ327763 SRE327763:SRF327763 TBA327763:TBB327763 TKW327763:TKX327763 TUS327763:TUT327763 UEO327763:UEP327763 UOK327763:UOL327763 UYG327763:UYH327763 VIC327763:VID327763 VRY327763:VRZ327763 WBU327763:WBV327763 WLQ327763:WLR327763 WVM327763:WVN327763 E393299:F393299 JA393299:JB393299 SW393299:SX393299 ACS393299:ACT393299 AMO393299:AMP393299 AWK393299:AWL393299 BGG393299:BGH393299 BQC393299:BQD393299 BZY393299:BZZ393299 CJU393299:CJV393299 CTQ393299:CTR393299 DDM393299:DDN393299 DNI393299:DNJ393299 DXE393299:DXF393299 EHA393299:EHB393299 EQW393299:EQX393299 FAS393299:FAT393299 FKO393299:FKP393299 FUK393299:FUL393299 GEG393299:GEH393299 GOC393299:GOD393299 GXY393299:GXZ393299 HHU393299:HHV393299 HRQ393299:HRR393299 IBM393299:IBN393299 ILI393299:ILJ393299 IVE393299:IVF393299 JFA393299:JFB393299 JOW393299:JOX393299 JYS393299:JYT393299 KIO393299:KIP393299 KSK393299:KSL393299 LCG393299:LCH393299 LMC393299:LMD393299 LVY393299:LVZ393299 MFU393299:MFV393299 MPQ393299:MPR393299 MZM393299:MZN393299 NJI393299:NJJ393299 NTE393299:NTF393299 ODA393299:ODB393299 OMW393299:OMX393299 OWS393299:OWT393299 PGO393299:PGP393299 PQK393299:PQL393299 QAG393299:QAH393299 QKC393299:QKD393299 QTY393299:QTZ393299 RDU393299:RDV393299 RNQ393299:RNR393299 RXM393299:RXN393299 SHI393299:SHJ393299 SRE393299:SRF393299 TBA393299:TBB393299 TKW393299:TKX393299 TUS393299:TUT393299 UEO393299:UEP393299 UOK393299:UOL393299 UYG393299:UYH393299 VIC393299:VID393299 VRY393299:VRZ393299 WBU393299:WBV393299 WLQ393299:WLR393299 WVM393299:WVN393299 E458835:F458835 JA458835:JB458835 SW458835:SX458835 ACS458835:ACT458835 AMO458835:AMP458835 AWK458835:AWL458835 BGG458835:BGH458835 BQC458835:BQD458835 BZY458835:BZZ458835 CJU458835:CJV458835 CTQ458835:CTR458835 DDM458835:DDN458835 DNI458835:DNJ458835 DXE458835:DXF458835 EHA458835:EHB458835 EQW458835:EQX458835 FAS458835:FAT458835 FKO458835:FKP458835 FUK458835:FUL458835 GEG458835:GEH458835 GOC458835:GOD458835 GXY458835:GXZ458835 HHU458835:HHV458835 HRQ458835:HRR458835 IBM458835:IBN458835 ILI458835:ILJ458835 IVE458835:IVF458835 JFA458835:JFB458835 JOW458835:JOX458835 JYS458835:JYT458835 KIO458835:KIP458835 KSK458835:KSL458835 LCG458835:LCH458835 LMC458835:LMD458835 LVY458835:LVZ458835 MFU458835:MFV458835 MPQ458835:MPR458835 MZM458835:MZN458835 NJI458835:NJJ458835 NTE458835:NTF458835 ODA458835:ODB458835 OMW458835:OMX458835 OWS458835:OWT458835 PGO458835:PGP458835 PQK458835:PQL458835 QAG458835:QAH458835 QKC458835:QKD458835 QTY458835:QTZ458835 RDU458835:RDV458835 RNQ458835:RNR458835 RXM458835:RXN458835 SHI458835:SHJ458835 SRE458835:SRF458835 TBA458835:TBB458835 TKW458835:TKX458835 TUS458835:TUT458835 UEO458835:UEP458835 UOK458835:UOL458835 UYG458835:UYH458835 VIC458835:VID458835 VRY458835:VRZ458835 WBU458835:WBV458835 WLQ458835:WLR458835 WVM458835:WVN458835 E524371:F524371 JA524371:JB524371 SW524371:SX524371 ACS524371:ACT524371 AMO524371:AMP524371 AWK524371:AWL524371 BGG524371:BGH524371 BQC524371:BQD524371 BZY524371:BZZ524371 CJU524371:CJV524371 CTQ524371:CTR524371 DDM524371:DDN524371 DNI524371:DNJ524371 DXE524371:DXF524371 EHA524371:EHB524371 EQW524371:EQX524371 FAS524371:FAT524371 FKO524371:FKP524371 FUK524371:FUL524371 GEG524371:GEH524371 GOC524371:GOD524371 GXY524371:GXZ524371 HHU524371:HHV524371 HRQ524371:HRR524371 IBM524371:IBN524371 ILI524371:ILJ524371 IVE524371:IVF524371 JFA524371:JFB524371 JOW524371:JOX524371 JYS524371:JYT524371 KIO524371:KIP524371 KSK524371:KSL524371 LCG524371:LCH524371 LMC524371:LMD524371 LVY524371:LVZ524371 MFU524371:MFV524371 MPQ524371:MPR524371 MZM524371:MZN524371 NJI524371:NJJ524371 NTE524371:NTF524371 ODA524371:ODB524371 OMW524371:OMX524371 OWS524371:OWT524371 PGO524371:PGP524371 PQK524371:PQL524371 QAG524371:QAH524371 QKC524371:QKD524371 QTY524371:QTZ524371 RDU524371:RDV524371 RNQ524371:RNR524371 RXM524371:RXN524371 SHI524371:SHJ524371 SRE524371:SRF524371 TBA524371:TBB524371 TKW524371:TKX524371 TUS524371:TUT524371 UEO524371:UEP524371 UOK524371:UOL524371 UYG524371:UYH524371 VIC524371:VID524371 VRY524371:VRZ524371 WBU524371:WBV524371 WLQ524371:WLR524371 WVM524371:WVN524371 E589907:F589907 JA589907:JB589907 SW589907:SX589907 ACS589907:ACT589907 AMO589907:AMP589907 AWK589907:AWL589907 BGG589907:BGH589907 BQC589907:BQD589907 BZY589907:BZZ589907 CJU589907:CJV589907 CTQ589907:CTR589907 DDM589907:DDN589907 DNI589907:DNJ589907 DXE589907:DXF589907 EHA589907:EHB589907 EQW589907:EQX589907 FAS589907:FAT589907 FKO589907:FKP589907 FUK589907:FUL589907 GEG589907:GEH589907 GOC589907:GOD589907 GXY589907:GXZ589907 HHU589907:HHV589907 HRQ589907:HRR589907 IBM589907:IBN589907 ILI589907:ILJ589907 IVE589907:IVF589907 JFA589907:JFB589907 JOW589907:JOX589907 JYS589907:JYT589907 KIO589907:KIP589907 KSK589907:KSL589907 LCG589907:LCH589907 LMC589907:LMD589907 LVY589907:LVZ589907 MFU589907:MFV589907 MPQ589907:MPR589907 MZM589907:MZN589907 NJI589907:NJJ589907 NTE589907:NTF589907 ODA589907:ODB589907 OMW589907:OMX589907 OWS589907:OWT589907 PGO589907:PGP589907 PQK589907:PQL589907 QAG589907:QAH589907 QKC589907:QKD589907 QTY589907:QTZ589907 RDU589907:RDV589907 RNQ589907:RNR589907 RXM589907:RXN589907 SHI589907:SHJ589907 SRE589907:SRF589907 TBA589907:TBB589907 TKW589907:TKX589907 TUS589907:TUT589907 UEO589907:UEP589907 UOK589907:UOL589907 UYG589907:UYH589907 VIC589907:VID589907 VRY589907:VRZ589907 WBU589907:WBV589907 WLQ589907:WLR589907 WVM589907:WVN589907 E655443:F655443 JA655443:JB655443 SW655443:SX655443 ACS655443:ACT655443 AMO655443:AMP655443 AWK655443:AWL655443 BGG655443:BGH655443 BQC655443:BQD655443 BZY655443:BZZ655443 CJU655443:CJV655443 CTQ655443:CTR655443 DDM655443:DDN655443 DNI655443:DNJ655443 DXE655443:DXF655443 EHA655443:EHB655443 EQW655443:EQX655443 FAS655443:FAT655443 FKO655443:FKP655443 FUK655443:FUL655443 GEG655443:GEH655443 GOC655443:GOD655443 GXY655443:GXZ655443 HHU655443:HHV655443 HRQ655443:HRR655443 IBM655443:IBN655443 ILI655443:ILJ655443 IVE655443:IVF655443 JFA655443:JFB655443 JOW655443:JOX655443 JYS655443:JYT655443 KIO655443:KIP655443 KSK655443:KSL655443 LCG655443:LCH655443 LMC655443:LMD655443 LVY655443:LVZ655443 MFU655443:MFV655443 MPQ655443:MPR655443 MZM655443:MZN655443 NJI655443:NJJ655443 NTE655443:NTF655443 ODA655443:ODB655443 OMW655443:OMX655443 OWS655443:OWT655443 PGO655443:PGP655443 PQK655443:PQL655443 QAG655443:QAH655443 QKC655443:QKD655443 QTY655443:QTZ655443 RDU655443:RDV655443 RNQ655443:RNR655443 RXM655443:RXN655443 SHI655443:SHJ655443 SRE655443:SRF655443 TBA655443:TBB655443 TKW655443:TKX655443 TUS655443:TUT655443 UEO655443:UEP655443 UOK655443:UOL655443 UYG655443:UYH655443 VIC655443:VID655443 VRY655443:VRZ655443 WBU655443:WBV655443 WLQ655443:WLR655443 WVM655443:WVN655443 E720979:F720979 JA720979:JB720979 SW720979:SX720979 ACS720979:ACT720979 AMO720979:AMP720979 AWK720979:AWL720979 BGG720979:BGH720979 BQC720979:BQD720979 BZY720979:BZZ720979 CJU720979:CJV720979 CTQ720979:CTR720979 DDM720979:DDN720979 DNI720979:DNJ720979 DXE720979:DXF720979 EHA720979:EHB720979 EQW720979:EQX720979 FAS720979:FAT720979 FKO720979:FKP720979 FUK720979:FUL720979 GEG720979:GEH720979 GOC720979:GOD720979 GXY720979:GXZ720979 HHU720979:HHV720979 HRQ720979:HRR720979 IBM720979:IBN720979 ILI720979:ILJ720979 IVE720979:IVF720979 JFA720979:JFB720979 JOW720979:JOX720979 JYS720979:JYT720979 KIO720979:KIP720979 KSK720979:KSL720979 LCG720979:LCH720979 LMC720979:LMD720979 LVY720979:LVZ720979 MFU720979:MFV720979 MPQ720979:MPR720979 MZM720979:MZN720979 NJI720979:NJJ720979 NTE720979:NTF720979 ODA720979:ODB720979 OMW720979:OMX720979 OWS720979:OWT720979 PGO720979:PGP720979 PQK720979:PQL720979 QAG720979:QAH720979 QKC720979:QKD720979 QTY720979:QTZ720979 RDU720979:RDV720979 RNQ720979:RNR720979 RXM720979:RXN720979 SHI720979:SHJ720979 SRE720979:SRF720979 TBA720979:TBB720979 TKW720979:TKX720979 TUS720979:TUT720979 UEO720979:UEP720979 UOK720979:UOL720979 UYG720979:UYH720979 VIC720979:VID720979 VRY720979:VRZ720979 WBU720979:WBV720979 WLQ720979:WLR720979 WVM720979:WVN720979 E786515:F786515 JA786515:JB786515 SW786515:SX786515 ACS786515:ACT786515 AMO786515:AMP786515 AWK786515:AWL786515 BGG786515:BGH786515 BQC786515:BQD786515 BZY786515:BZZ786515 CJU786515:CJV786515 CTQ786515:CTR786515 DDM786515:DDN786515 DNI786515:DNJ786515 DXE786515:DXF786515 EHA786515:EHB786515 EQW786515:EQX786515 FAS786515:FAT786515 FKO786515:FKP786515 FUK786515:FUL786515 GEG786515:GEH786515 GOC786515:GOD786515 GXY786515:GXZ786515 HHU786515:HHV786515 HRQ786515:HRR786515 IBM786515:IBN786515 ILI786515:ILJ786515 IVE786515:IVF786515 JFA786515:JFB786515 JOW786515:JOX786515 JYS786515:JYT786515 KIO786515:KIP786515 KSK786515:KSL786515 LCG786515:LCH786515 LMC786515:LMD786515 LVY786515:LVZ786515 MFU786515:MFV786515 MPQ786515:MPR786515 MZM786515:MZN786515 NJI786515:NJJ786515 NTE786515:NTF786515 ODA786515:ODB786515 OMW786515:OMX786515 OWS786515:OWT786515 PGO786515:PGP786515 PQK786515:PQL786515 QAG786515:QAH786515 QKC786515:QKD786515 QTY786515:QTZ786515 RDU786515:RDV786515 RNQ786515:RNR786515 RXM786515:RXN786515 SHI786515:SHJ786515 SRE786515:SRF786515 TBA786515:TBB786515 TKW786515:TKX786515 TUS786515:TUT786515 UEO786515:UEP786515 UOK786515:UOL786515 UYG786515:UYH786515 VIC786515:VID786515 VRY786515:VRZ786515 WBU786515:WBV786515 WLQ786515:WLR786515 WVM786515:WVN786515 E852051:F852051 JA852051:JB852051 SW852051:SX852051 ACS852051:ACT852051 AMO852051:AMP852051 AWK852051:AWL852051 BGG852051:BGH852051 BQC852051:BQD852051 BZY852051:BZZ852051 CJU852051:CJV852051 CTQ852051:CTR852051 DDM852051:DDN852051 DNI852051:DNJ852051 DXE852051:DXF852051 EHA852051:EHB852051 EQW852051:EQX852051 FAS852051:FAT852051 FKO852051:FKP852051 FUK852051:FUL852051 GEG852051:GEH852051 GOC852051:GOD852051 GXY852051:GXZ852051 HHU852051:HHV852051 HRQ852051:HRR852051 IBM852051:IBN852051 ILI852051:ILJ852051 IVE852051:IVF852051 JFA852051:JFB852051 JOW852051:JOX852051 JYS852051:JYT852051 KIO852051:KIP852051 KSK852051:KSL852051 LCG852051:LCH852051 LMC852051:LMD852051 LVY852051:LVZ852051 MFU852051:MFV852051 MPQ852051:MPR852051 MZM852051:MZN852051 NJI852051:NJJ852051 NTE852051:NTF852051 ODA852051:ODB852051 OMW852051:OMX852051 OWS852051:OWT852051 PGO852051:PGP852051 PQK852051:PQL852051 QAG852051:QAH852051 QKC852051:QKD852051 QTY852051:QTZ852051 RDU852051:RDV852051 RNQ852051:RNR852051 RXM852051:RXN852051 SHI852051:SHJ852051 SRE852051:SRF852051 TBA852051:TBB852051 TKW852051:TKX852051 TUS852051:TUT852051 UEO852051:UEP852051 UOK852051:UOL852051 UYG852051:UYH852051 VIC852051:VID852051 VRY852051:VRZ852051 WBU852051:WBV852051 WLQ852051:WLR852051 WVM852051:WVN852051 E917587:F917587 JA917587:JB917587 SW917587:SX917587 ACS917587:ACT917587 AMO917587:AMP917587 AWK917587:AWL917587 BGG917587:BGH917587 BQC917587:BQD917587 BZY917587:BZZ917587 CJU917587:CJV917587 CTQ917587:CTR917587 DDM917587:DDN917587 DNI917587:DNJ917587 DXE917587:DXF917587 EHA917587:EHB917587 EQW917587:EQX917587 FAS917587:FAT917587 FKO917587:FKP917587 FUK917587:FUL917587 GEG917587:GEH917587 GOC917587:GOD917587 GXY917587:GXZ917587 HHU917587:HHV917587 HRQ917587:HRR917587 IBM917587:IBN917587 ILI917587:ILJ917587 IVE917587:IVF917587 JFA917587:JFB917587 JOW917587:JOX917587 JYS917587:JYT917587 KIO917587:KIP917587 KSK917587:KSL917587 LCG917587:LCH917587 LMC917587:LMD917587 LVY917587:LVZ917587 MFU917587:MFV917587 MPQ917587:MPR917587 MZM917587:MZN917587 NJI917587:NJJ917587 NTE917587:NTF917587 ODA917587:ODB917587 OMW917587:OMX917587 OWS917587:OWT917587 PGO917587:PGP917587 PQK917587:PQL917587 QAG917587:QAH917587 QKC917587:QKD917587 QTY917587:QTZ917587 RDU917587:RDV917587 RNQ917587:RNR917587 RXM917587:RXN917587 SHI917587:SHJ917587 SRE917587:SRF917587 TBA917587:TBB917587 TKW917587:TKX917587 TUS917587:TUT917587 UEO917587:UEP917587 UOK917587:UOL917587 UYG917587:UYH917587 VIC917587:VID917587 VRY917587:VRZ917587 WBU917587:WBV917587 WLQ917587:WLR917587 WVM917587:WVN917587 E983123:F983123 JA983123:JB983123 SW983123:SX983123 ACS983123:ACT983123 AMO983123:AMP983123 AWK983123:AWL983123 BGG983123:BGH983123 BQC983123:BQD983123 BZY983123:BZZ983123 CJU983123:CJV983123 CTQ983123:CTR983123 DDM983123:DDN983123 DNI983123:DNJ983123 DXE983123:DXF983123 EHA983123:EHB983123 EQW983123:EQX983123 FAS983123:FAT983123 FKO983123:FKP983123 FUK983123:FUL983123 GEG983123:GEH983123 GOC983123:GOD983123 GXY983123:GXZ983123 HHU983123:HHV983123 HRQ983123:HRR983123 IBM983123:IBN983123 ILI983123:ILJ983123 IVE983123:IVF983123 JFA983123:JFB983123 JOW983123:JOX983123 JYS983123:JYT983123 KIO983123:KIP983123 KSK983123:KSL983123 LCG983123:LCH983123 LMC983123:LMD983123 LVY983123:LVZ983123 MFU983123:MFV983123 MPQ983123:MPR983123 MZM983123:MZN983123 NJI983123:NJJ983123 NTE983123:NTF983123 ODA983123:ODB983123 OMW983123:OMX983123 OWS983123:OWT983123 PGO983123:PGP983123 PQK983123:PQL983123 QAG983123:QAH983123 QKC983123:QKD983123 QTY983123:QTZ983123 RDU983123:RDV983123 RNQ983123:RNR983123 RXM983123:RXN983123 SHI983123:SHJ983123 SRE983123:SRF983123 TBA983123:TBB983123 TKW983123:TKX983123 TUS983123:TUT983123 UEO983123:UEP983123 UOK983123:UOL983123 UYG983123:UYH983123 VIC983123:VID983123 VRY983123:VRZ983123 WBU983123:WBV983123 WLQ983123:WLR983123 WVM983123:WVN983123" xr:uid="{00000000-0002-0000-0A00-000000000000}">
      <formula1>0</formula1>
      <formula2>1</formula2>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E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E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E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E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E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E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E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E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E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E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E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E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E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E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E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E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E74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E65610 JA65610 SW65610 ACS65610 AMO65610 AWK65610 BGG65610 BQC65610 BZY65610 CJU65610 CTQ65610 DDM65610 DNI65610 DXE65610 EHA65610 EQW65610 FAS65610 FKO65610 FUK65610 GEG65610 GOC65610 GXY65610 HHU65610 HRQ65610 IBM65610 ILI65610 IVE65610 JFA65610 JOW65610 JYS65610 KIO65610 KSK65610 LCG65610 LMC65610 LVY65610 MFU65610 MPQ65610 MZM65610 NJI65610 NTE65610 ODA65610 OMW65610 OWS65610 PGO65610 PQK65610 QAG65610 QKC65610 QTY65610 RDU65610 RNQ65610 RXM65610 SHI65610 SRE65610 TBA65610 TKW65610 TUS65610 UEO65610 UOK65610 UYG65610 VIC65610 VRY65610 WBU65610 WLQ65610 WVM65610 E131146 JA131146 SW131146 ACS131146 AMO131146 AWK131146 BGG131146 BQC131146 BZY131146 CJU131146 CTQ131146 DDM131146 DNI131146 DXE131146 EHA131146 EQW131146 FAS131146 FKO131146 FUK131146 GEG131146 GOC131146 GXY131146 HHU131146 HRQ131146 IBM131146 ILI131146 IVE131146 JFA131146 JOW131146 JYS131146 KIO131146 KSK131146 LCG131146 LMC131146 LVY131146 MFU131146 MPQ131146 MZM131146 NJI131146 NTE131146 ODA131146 OMW131146 OWS131146 PGO131146 PQK131146 QAG131146 QKC131146 QTY131146 RDU131146 RNQ131146 RXM131146 SHI131146 SRE131146 TBA131146 TKW131146 TUS131146 UEO131146 UOK131146 UYG131146 VIC131146 VRY131146 WBU131146 WLQ131146 WVM131146 E196682 JA196682 SW196682 ACS196682 AMO196682 AWK196682 BGG196682 BQC196682 BZY196682 CJU196682 CTQ196682 DDM196682 DNI196682 DXE196682 EHA196682 EQW196682 FAS196682 FKO196682 FUK196682 GEG196682 GOC196682 GXY196682 HHU196682 HRQ196682 IBM196682 ILI196682 IVE196682 JFA196682 JOW196682 JYS196682 KIO196682 KSK196682 LCG196682 LMC196682 LVY196682 MFU196682 MPQ196682 MZM196682 NJI196682 NTE196682 ODA196682 OMW196682 OWS196682 PGO196682 PQK196682 QAG196682 QKC196682 QTY196682 RDU196682 RNQ196682 RXM196682 SHI196682 SRE196682 TBA196682 TKW196682 TUS196682 UEO196682 UOK196682 UYG196682 VIC196682 VRY196682 WBU196682 WLQ196682 WVM196682 E262218 JA262218 SW262218 ACS262218 AMO262218 AWK262218 BGG262218 BQC262218 BZY262218 CJU262218 CTQ262218 DDM262218 DNI262218 DXE262218 EHA262218 EQW262218 FAS262218 FKO262218 FUK262218 GEG262218 GOC262218 GXY262218 HHU262218 HRQ262218 IBM262218 ILI262218 IVE262218 JFA262218 JOW262218 JYS262218 KIO262218 KSK262218 LCG262218 LMC262218 LVY262218 MFU262218 MPQ262218 MZM262218 NJI262218 NTE262218 ODA262218 OMW262218 OWS262218 PGO262218 PQK262218 QAG262218 QKC262218 QTY262218 RDU262218 RNQ262218 RXM262218 SHI262218 SRE262218 TBA262218 TKW262218 TUS262218 UEO262218 UOK262218 UYG262218 VIC262218 VRY262218 WBU262218 WLQ262218 WVM262218 E327754 JA327754 SW327754 ACS327754 AMO327754 AWK327754 BGG327754 BQC327754 BZY327754 CJU327754 CTQ327754 DDM327754 DNI327754 DXE327754 EHA327754 EQW327754 FAS327754 FKO327754 FUK327754 GEG327754 GOC327754 GXY327754 HHU327754 HRQ327754 IBM327754 ILI327754 IVE327754 JFA327754 JOW327754 JYS327754 KIO327754 KSK327754 LCG327754 LMC327754 LVY327754 MFU327754 MPQ327754 MZM327754 NJI327754 NTE327754 ODA327754 OMW327754 OWS327754 PGO327754 PQK327754 QAG327754 QKC327754 QTY327754 RDU327754 RNQ327754 RXM327754 SHI327754 SRE327754 TBA327754 TKW327754 TUS327754 UEO327754 UOK327754 UYG327754 VIC327754 VRY327754 WBU327754 WLQ327754 WVM327754 E393290 JA393290 SW393290 ACS393290 AMO393290 AWK393290 BGG393290 BQC393290 BZY393290 CJU393290 CTQ393290 DDM393290 DNI393290 DXE393290 EHA393290 EQW393290 FAS393290 FKO393290 FUK393290 GEG393290 GOC393290 GXY393290 HHU393290 HRQ393290 IBM393290 ILI393290 IVE393290 JFA393290 JOW393290 JYS393290 KIO393290 KSK393290 LCG393290 LMC393290 LVY393290 MFU393290 MPQ393290 MZM393290 NJI393290 NTE393290 ODA393290 OMW393290 OWS393290 PGO393290 PQK393290 QAG393290 QKC393290 QTY393290 RDU393290 RNQ393290 RXM393290 SHI393290 SRE393290 TBA393290 TKW393290 TUS393290 UEO393290 UOK393290 UYG393290 VIC393290 VRY393290 WBU393290 WLQ393290 WVM393290 E458826 JA458826 SW458826 ACS458826 AMO458826 AWK458826 BGG458826 BQC458826 BZY458826 CJU458826 CTQ458826 DDM458826 DNI458826 DXE458826 EHA458826 EQW458826 FAS458826 FKO458826 FUK458826 GEG458826 GOC458826 GXY458826 HHU458826 HRQ458826 IBM458826 ILI458826 IVE458826 JFA458826 JOW458826 JYS458826 KIO458826 KSK458826 LCG458826 LMC458826 LVY458826 MFU458826 MPQ458826 MZM458826 NJI458826 NTE458826 ODA458826 OMW458826 OWS458826 PGO458826 PQK458826 QAG458826 QKC458826 QTY458826 RDU458826 RNQ458826 RXM458826 SHI458826 SRE458826 TBA458826 TKW458826 TUS458826 UEO458826 UOK458826 UYG458826 VIC458826 VRY458826 WBU458826 WLQ458826 WVM458826 E524362 JA524362 SW524362 ACS524362 AMO524362 AWK524362 BGG524362 BQC524362 BZY524362 CJU524362 CTQ524362 DDM524362 DNI524362 DXE524362 EHA524362 EQW524362 FAS524362 FKO524362 FUK524362 GEG524362 GOC524362 GXY524362 HHU524362 HRQ524362 IBM524362 ILI524362 IVE524362 JFA524362 JOW524362 JYS524362 KIO524362 KSK524362 LCG524362 LMC524362 LVY524362 MFU524362 MPQ524362 MZM524362 NJI524362 NTE524362 ODA524362 OMW524362 OWS524362 PGO524362 PQK524362 QAG524362 QKC524362 QTY524362 RDU524362 RNQ524362 RXM524362 SHI524362 SRE524362 TBA524362 TKW524362 TUS524362 UEO524362 UOK524362 UYG524362 VIC524362 VRY524362 WBU524362 WLQ524362 WVM524362 E589898 JA589898 SW589898 ACS589898 AMO589898 AWK589898 BGG589898 BQC589898 BZY589898 CJU589898 CTQ589898 DDM589898 DNI589898 DXE589898 EHA589898 EQW589898 FAS589898 FKO589898 FUK589898 GEG589898 GOC589898 GXY589898 HHU589898 HRQ589898 IBM589898 ILI589898 IVE589898 JFA589898 JOW589898 JYS589898 KIO589898 KSK589898 LCG589898 LMC589898 LVY589898 MFU589898 MPQ589898 MZM589898 NJI589898 NTE589898 ODA589898 OMW589898 OWS589898 PGO589898 PQK589898 QAG589898 QKC589898 QTY589898 RDU589898 RNQ589898 RXM589898 SHI589898 SRE589898 TBA589898 TKW589898 TUS589898 UEO589898 UOK589898 UYG589898 VIC589898 VRY589898 WBU589898 WLQ589898 WVM589898 E655434 JA655434 SW655434 ACS655434 AMO655434 AWK655434 BGG655434 BQC655434 BZY655434 CJU655434 CTQ655434 DDM655434 DNI655434 DXE655434 EHA655434 EQW655434 FAS655434 FKO655434 FUK655434 GEG655434 GOC655434 GXY655434 HHU655434 HRQ655434 IBM655434 ILI655434 IVE655434 JFA655434 JOW655434 JYS655434 KIO655434 KSK655434 LCG655434 LMC655434 LVY655434 MFU655434 MPQ655434 MZM655434 NJI655434 NTE655434 ODA655434 OMW655434 OWS655434 PGO655434 PQK655434 QAG655434 QKC655434 QTY655434 RDU655434 RNQ655434 RXM655434 SHI655434 SRE655434 TBA655434 TKW655434 TUS655434 UEO655434 UOK655434 UYG655434 VIC655434 VRY655434 WBU655434 WLQ655434 WVM655434 E720970 JA720970 SW720970 ACS720970 AMO720970 AWK720970 BGG720970 BQC720970 BZY720970 CJU720970 CTQ720970 DDM720970 DNI720970 DXE720970 EHA720970 EQW720970 FAS720970 FKO720970 FUK720970 GEG720970 GOC720970 GXY720970 HHU720970 HRQ720970 IBM720970 ILI720970 IVE720970 JFA720970 JOW720970 JYS720970 KIO720970 KSK720970 LCG720970 LMC720970 LVY720970 MFU720970 MPQ720970 MZM720970 NJI720970 NTE720970 ODA720970 OMW720970 OWS720970 PGO720970 PQK720970 QAG720970 QKC720970 QTY720970 RDU720970 RNQ720970 RXM720970 SHI720970 SRE720970 TBA720970 TKW720970 TUS720970 UEO720970 UOK720970 UYG720970 VIC720970 VRY720970 WBU720970 WLQ720970 WVM720970 E786506 JA786506 SW786506 ACS786506 AMO786506 AWK786506 BGG786506 BQC786506 BZY786506 CJU786506 CTQ786506 DDM786506 DNI786506 DXE786506 EHA786506 EQW786506 FAS786506 FKO786506 FUK786506 GEG786506 GOC786506 GXY786506 HHU786506 HRQ786506 IBM786506 ILI786506 IVE786506 JFA786506 JOW786506 JYS786506 KIO786506 KSK786506 LCG786506 LMC786506 LVY786506 MFU786506 MPQ786506 MZM786506 NJI786506 NTE786506 ODA786506 OMW786506 OWS786506 PGO786506 PQK786506 QAG786506 QKC786506 QTY786506 RDU786506 RNQ786506 RXM786506 SHI786506 SRE786506 TBA786506 TKW786506 TUS786506 UEO786506 UOK786506 UYG786506 VIC786506 VRY786506 WBU786506 WLQ786506 WVM786506 E852042 JA852042 SW852042 ACS852042 AMO852042 AWK852042 BGG852042 BQC852042 BZY852042 CJU852042 CTQ852042 DDM852042 DNI852042 DXE852042 EHA852042 EQW852042 FAS852042 FKO852042 FUK852042 GEG852042 GOC852042 GXY852042 HHU852042 HRQ852042 IBM852042 ILI852042 IVE852042 JFA852042 JOW852042 JYS852042 KIO852042 KSK852042 LCG852042 LMC852042 LVY852042 MFU852042 MPQ852042 MZM852042 NJI852042 NTE852042 ODA852042 OMW852042 OWS852042 PGO852042 PQK852042 QAG852042 QKC852042 QTY852042 RDU852042 RNQ852042 RXM852042 SHI852042 SRE852042 TBA852042 TKW852042 TUS852042 UEO852042 UOK852042 UYG852042 VIC852042 VRY852042 WBU852042 WLQ852042 WVM852042 E917578 JA917578 SW917578 ACS917578 AMO917578 AWK917578 BGG917578 BQC917578 BZY917578 CJU917578 CTQ917578 DDM917578 DNI917578 DXE917578 EHA917578 EQW917578 FAS917578 FKO917578 FUK917578 GEG917578 GOC917578 GXY917578 HHU917578 HRQ917578 IBM917578 ILI917578 IVE917578 JFA917578 JOW917578 JYS917578 KIO917578 KSK917578 LCG917578 LMC917578 LVY917578 MFU917578 MPQ917578 MZM917578 NJI917578 NTE917578 ODA917578 OMW917578 OWS917578 PGO917578 PQK917578 QAG917578 QKC917578 QTY917578 RDU917578 RNQ917578 RXM917578 SHI917578 SRE917578 TBA917578 TKW917578 TUS917578 UEO917578 UOK917578 UYG917578 VIC917578 VRY917578 WBU917578 WLQ917578 WVM917578 E983114 JA983114 SW983114 ACS983114 AMO983114 AWK983114 BGG983114 BQC983114 BZY983114 CJU983114 CTQ983114 DDM983114 DNI983114 DXE983114 EHA983114 EQW983114 FAS983114 FKO983114 FUK983114 GEG983114 GOC983114 GXY983114 HHU983114 HRQ983114 IBM983114 ILI983114 IVE983114 JFA983114 JOW983114 JYS983114 KIO983114 KSK983114 LCG983114 LMC983114 LVY983114 MFU983114 MPQ983114 MZM983114 NJI983114 NTE983114 ODA983114 OMW983114 OWS983114 PGO983114 PQK983114 QAG983114 QKC983114 QTY983114 RDU983114 RNQ983114 RXM983114 SHI983114 SRE983114 TBA983114 TKW983114 TUS983114 UEO983114 UOK983114 UYG983114 VIC983114 VRY983114 WBU983114 WLQ983114 WVM983114" xr:uid="{00000000-0002-0000-0A00-000001000000}">
      <formula1>$O$5:$O$15</formula1>
    </dataValidation>
    <dataValidation type="list" allowBlank="1" showInputMessage="1" showErrorMessage="1" sqref="E17:F17 JA17:JB17 SW17:SX17 ACS17:ACT17 AMO17:AMP17 AWK17:AWL17 BGG17:BGH17 BQC17:BQD17 BZY17:BZZ17 CJU17:CJV17 CTQ17:CTR17 DDM17:DDN17 DNI17:DNJ17 DXE17:DXF17 EHA17:EHB17 EQW17:EQX17 FAS17:FAT17 FKO17:FKP17 FUK17:FUL17 GEG17:GEH17 GOC17:GOD17 GXY17:GXZ17 HHU17:HHV17 HRQ17:HRR17 IBM17:IBN17 ILI17:ILJ17 IVE17:IVF17 JFA17:JFB17 JOW17:JOX17 JYS17:JYT17 KIO17:KIP17 KSK17:KSL17 LCG17:LCH17 LMC17:LMD17 LVY17:LVZ17 MFU17:MFV17 MPQ17:MPR17 MZM17:MZN17 NJI17:NJJ17 NTE17:NTF17 ODA17:ODB17 OMW17:OMX17 OWS17:OWT17 PGO17:PGP17 PQK17:PQL17 QAG17:QAH17 QKC17:QKD17 QTY17:QTZ17 RDU17:RDV17 RNQ17:RNR17 RXM17:RXN17 SHI17:SHJ17 SRE17:SRF17 TBA17:TBB17 TKW17:TKX17 TUS17:TUT17 UEO17:UEP17 UOK17:UOL17 UYG17:UYH17 VIC17:VID17 VRY17:VRZ17 WBU17:WBV17 WLQ17:WLR17 WVM17:WVN17 E65553:F65553 JA65553:JB65553 SW65553:SX65553 ACS65553:ACT65553 AMO65553:AMP65553 AWK65553:AWL65553 BGG65553:BGH65553 BQC65553:BQD65553 BZY65553:BZZ65553 CJU65553:CJV65553 CTQ65553:CTR65553 DDM65553:DDN65553 DNI65553:DNJ65553 DXE65553:DXF65553 EHA65553:EHB65553 EQW65553:EQX65553 FAS65553:FAT65553 FKO65553:FKP65553 FUK65553:FUL65553 GEG65553:GEH65553 GOC65553:GOD65553 GXY65553:GXZ65553 HHU65553:HHV65553 HRQ65553:HRR65553 IBM65553:IBN65553 ILI65553:ILJ65553 IVE65553:IVF65553 JFA65553:JFB65553 JOW65553:JOX65553 JYS65553:JYT65553 KIO65553:KIP65553 KSK65553:KSL65553 LCG65553:LCH65553 LMC65553:LMD65553 LVY65553:LVZ65553 MFU65553:MFV65553 MPQ65553:MPR65553 MZM65553:MZN65553 NJI65553:NJJ65553 NTE65553:NTF65553 ODA65553:ODB65553 OMW65553:OMX65553 OWS65553:OWT65553 PGO65553:PGP65553 PQK65553:PQL65553 QAG65553:QAH65553 QKC65553:QKD65553 QTY65553:QTZ65553 RDU65553:RDV65553 RNQ65553:RNR65553 RXM65553:RXN65553 SHI65553:SHJ65553 SRE65553:SRF65553 TBA65553:TBB65553 TKW65553:TKX65553 TUS65553:TUT65553 UEO65553:UEP65553 UOK65553:UOL65553 UYG65553:UYH65553 VIC65553:VID65553 VRY65553:VRZ65553 WBU65553:WBV65553 WLQ65553:WLR65553 WVM65553:WVN65553 E131089:F131089 JA131089:JB131089 SW131089:SX131089 ACS131089:ACT131089 AMO131089:AMP131089 AWK131089:AWL131089 BGG131089:BGH131089 BQC131089:BQD131089 BZY131089:BZZ131089 CJU131089:CJV131089 CTQ131089:CTR131089 DDM131089:DDN131089 DNI131089:DNJ131089 DXE131089:DXF131089 EHA131089:EHB131089 EQW131089:EQX131089 FAS131089:FAT131089 FKO131089:FKP131089 FUK131089:FUL131089 GEG131089:GEH131089 GOC131089:GOD131089 GXY131089:GXZ131089 HHU131089:HHV131089 HRQ131089:HRR131089 IBM131089:IBN131089 ILI131089:ILJ131089 IVE131089:IVF131089 JFA131089:JFB131089 JOW131089:JOX131089 JYS131089:JYT131089 KIO131089:KIP131089 KSK131089:KSL131089 LCG131089:LCH131089 LMC131089:LMD131089 LVY131089:LVZ131089 MFU131089:MFV131089 MPQ131089:MPR131089 MZM131089:MZN131089 NJI131089:NJJ131089 NTE131089:NTF131089 ODA131089:ODB131089 OMW131089:OMX131089 OWS131089:OWT131089 PGO131089:PGP131089 PQK131089:PQL131089 QAG131089:QAH131089 QKC131089:QKD131089 QTY131089:QTZ131089 RDU131089:RDV131089 RNQ131089:RNR131089 RXM131089:RXN131089 SHI131089:SHJ131089 SRE131089:SRF131089 TBA131089:TBB131089 TKW131089:TKX131089 TUS131089:TUT131089 UEO131089:UEP131089 UOK131089:UOL131089 UYG131089:UYH131089 VIC131089:VID131089 VRY131089:VRZ131089 WBU131089:WBV131089 WLQ131089:WLR131089 WVM131089:WVN131089 E196625:F196625 JA196625:JB196625 SW196625:SX196625 ACS196625:ACT196625 AMO196625:AMP196625 AWK196625:AWL196625 BGG196625:BGH196625 BQC196625:BQD196625 BZY196625:BZZ196625 CJU196625:CJV196625 CTQ196625:CTR196625 DDM196625:DDN196625 DNI196625:DNJ196625 DXE196625:DXF196625 EHA196625:EHB196625 EQW196625:EQX196625 FAS196625:FAT196625 FKO196625:FKP196625 FUK196625:FUL196625 GEG196625:GEH196625 GOC196625:GOD196625 GXY196625:GXZ196625 HHU196625:HHV196625 HRQ196625:HRR196625 IBM196625:IBN196625 ILI196625:ILJ196625 IVE196625:IVF196625 JFA196625:JFB196625 JOW196625:JOX196625 JYS196625:JYT196625 KIO196625:KIP196625 KSK196625:KSL196625 LCG196625:LCH196625 LMC196625:LMD196625 LVY196625:LVZ196625 MFU196625:MFV196625 MPQ196625:MPR196625 MZM196625:MZN196625 NJI196625:NJJ196625 NTE196625:NTF196625 ODA196625:ODB196625 OMW196625:OMX196625 OWS196625:OWT196625 PGO196625:PGP196625 PQK196625:PQL196625 QAG196625:QAH196625 QKC196625:QKD196625 QTY196625:QTZ196625 RDU196625:RDV196625 RNQ196625:RNR196625 RXM196625:RXN196625 SHI196625:SHJ196625 SRE196625:SRF196625 TBA196625:TBB196625 TKW196625:TKX196625 TUS196625:TUT196625 UEO196625:UEP196625 UOK196625:UOL196625 UYG196625:UYH196625 VIC196625:VID196625 VRY196625:VRZ196625 WBU196625:WBV196625 WLQ196625:WLR196625 WVM196625:WVN196625 E262161:F262161 JA262161:JB262161 SW262161:SX262161 ACS262161:ACT262161 AMO262161:AMP262161 AWK262161:AWL262161 BGG262161:BGH262161 BQC262161:BQD262161 BZY262161:BZZ262161 CJU262161:CJV262161 CTQ262161:CTR262161 DDM262161:DDN262161 DNI262161:DNJ262161 DXE262161:DXF262161 EHA262161:EHB262161 EQW262161:EQX262161 FAS262161:FAT262161 FKO262161:FKP262161 FUK262161:FUL262161 GEG262161:GEH262161 GOC262161:GOD262161 GXY262161:GXZ262161 HHU262161:HHV262161 HRQ262161:HRR262161 IBM262161:IBN262161 ILI262161:ILJ262161 IVE262161:IVF262161 JFA262161:JFB262161 JOW262161:JOX262161 JYS262161:JYT262161 KIO262161:KIP262161 KSK262161:KSL262161 LCG262161:LCH262161 LMC262161:LMD262161 LVY262161:LVZ262161 MFU262161:MFV262161 MPQ262161:MPR262161 MZM262161:MZN262161 NJI262161:NJJ262161 NTE262161:NTF262161 ODA262161:ODB262161 OMW262161:OMX262161 OWS262161:OWT262161 PGO262161:PGP262161 PQK262161:PQL262161 QAG262161:QAH262161 QKC262161:QKD262161 QTY262161:QTZ262161 RDU262161:RDV262161 RNQ262161:RNR262161 RXM262161:RXN262161 SHI262161:SHJ262161 SRE262161:SRF262161 TBA262161:TBB262161 TKW262161:TKX262161 TUS262161:TUT262161 UEO262161:UEP262161 UOK262161:UOL262161 UYG262161:UYH262161 VIC262161:VID262161 VRY262161:VRZ262161 WBU262161:WBV262161 WLQ262161:WLR262161 WVM262161:WVN262161 E327697:F327697 JA327697:JB327697 SW327697:SX327697 ACS327697:ACT327697 AMO327697:AMP327697 AWK327697:AWL327697 BGG327697:BGH327697 BQC327697:BQD327697 BZY327697:BZZ327697 CJU327697:CJV327697 CTQ327697:CTR327697 DDM327697:DDN327697 DNI327697:DNJ327697 DXE327697:DXF327697 EHA327697:EHB327697 EQW327697:EQX327697 FAS327697:FAT327697 FKO327697:FKP327697 FUK327697:FUL327697 GEG327697:GEH327697 GOC327697:GOD327697 GXY327697:GXZ327697 HHU327697:HHV327697 HRQ327697:HRR327697 IBM327697:IBN327697 ILI327697:ILJ327697 IVE327697:IVF327697 JFA327697:JFB327697 JOW327697:JOX327697 JYS327697:JYT327697 KIO327697:KIP327697 KSK327697:KSL327697 LCG327697:LCH327697 LMC327697:LMD327697 LVY327697:LVZ327697 MFU327697:MFV327697 MPQ327697:MPR327697 MZM327697:MZN327697 NJI327697:NJJ327697 NTE327697:NTF327697 ODA327697:ODB327697 OMW327697:OMX327697 OWS327697:OWT327697 PGO327697:PGP327697 PQK327697:PQL327697 QAG327697:QAH327697 QKC327697:QKD327697 QTY327697:QTZ327697 RDU327697:RDV327697 RNQ327697:RNR327697 RXM327697:RXN327697 SHI327697:SHJ327697 SRE327697:SRF327697 TBA327697:TBB327697 TKW327697:TKX327697 TUS327697:TUT327697 UEO327697:UEP327697 UOK327697:UOL327697 UYG327697:UYH327697 VIC327697:VID327697 VRY327697:VRZ327697 WBU327697:WBV327697 WLQ327697:WLR327697 WVM327697:WVN327697 E393233:F393233 JA393233:JB393233 SW393233:SX393233 ACS393233:ACT393233 AMO393233:AMP393233 AWK393233:AWL393233 BGG393233:BGH393233 BQC393233:BQD393233 BZY393233:BZZ393233 CJU393233:CJV393233 CTQ393233:CTR393233 DDM393233:DDN393233 DNI393233:DNJ393233 DXE393233:DXF393233 EHA393233:EHB393233 EQW393233:EQX393233 FAS393233:FAT393233 FKO393233:FKP393233 FUK393233:FUL393233 GEG393233:GEH393233 GOC393233:GOD393233 GXY393233:GXZ393233 HHU393233:HHV393233 HRQ393233:HRR393233 IBM393233:IBN393233 ILI393233:ILJ393233 IVE393233:IVF393233 JFA393233:JFB393233 JOW393233:JOX393233 JYS393233:JYT393233 KIO393233:KIP393233 KSK393233:KSL393233 LCG393233:LCH393233 LMC393233:LMD393233 LVY393233:LVZ393233 MFU393233:MFV393233 MPQ393233:MPR393233 MZM393233:MZN393233 NJI393233:NJJ393233 NTE393233:NTF393233 ODA393233:ODB393233 OMW393233:OMX393233 OWS393233:OWT393233 PGO393233:PGP393233 PQK393233:PQL393233 QAG393233:QAH393233 QKC393233:QKD393233 QTY393233:QTZ393233 RDU393233:RDV393233 RNQ393233:RNR393233 RXM393233:RXN393233 SHI393233:SHJ393233 SRE393233:SRF393233 TBA393233:TBB393233 TKW393233:TKX393233 TUS393233:TUT393233 UEO393233:UEP393233 UOK393233:UOL393233 UYG393233:UYH393233 VIC393233:VID393233 VRY393233:VRZ393233 WBU393233:WBV393233 WLQ393233:WLR393233 WVM393233:WVN393233 E458769:F458769 JA458769:JB458769 SW458769:SX458769 ACS458769:ACT458769 AMO458769:AMP458769 AWK458769:AWL458769 BGG458769:BGH458769 BQC458769:BQD458769 BZY458769:BZZ458769 CJU458769:CJV458769 CTQ458769:CTR458769 DDM458769:DDN458769 DNI458769:DNJ458769 DXE458769:DXF458769 EHA458769:EHB458769 EQW458769:EQX458769 FAS458769:FAT458769 FKO458769:FKP458769 FUK458769:FUL458769 GEG458769:GEH458769 GOC458769:GOD458769 GXY458769:GXZ458769 HHU458769:HHV458769 HRQ458769:HRR458769 IBM458769:IBN458769 ILI458769:ILJ458769 IVE458769:IVF458769 JFA458769:JFB458769 JOW458769:JOX458769 JYS458769:JYT458769 KIO458769:KIP458769 KSK458769:KSL458769 LCG458769:LCH458769 LMC458769:LMD458769 LVY458769:LVZ458769 MFU458769:MFV458769 MPQ458769:MPR458769 MZM458769:MZN458769 NJI458769:NJJ458769 NTE458769:NTF458769 ODA458769:ODB458769 OMW458769:OMX458769 OWS458769:OWT458769 PGO458769:PGP458769 PQK458769:PQL458769 QAG458769:QAH458769 QKC458769:QKD458769 QTY458769:QTZ458769 RDU458769:RDV458769 RNQ458769:RNR458769 RXM458769:RXN458769 SHI458769:SHJ458769 SRE458769:SRF458769 TBA458769:TBB458769 TKW458769:TKX458769 TUS458769:TUT458769 UEO458769:UEP458769 UOK458769:UOL458769 UYG458769:UYH458769 VIC458769:VID458769 VRY458769:VRZ458769 WBU458769:WBV458769 WLQ458769:WLR458769 WVM458769:WVN458769 E524305:F524305 JA524305:JB524305 SW524305:SX524305 ACS524305:ACT524305 AMO524305:AMP524305 AWK524305:AWL524305 BGG524305:BGH524305 BQC524305:BQD524305 BZY524305:BZZ524305 CJU524305:CJV524305 CTQ524305:CTR524305 DDM524305:DDN524305 DNI524305:DNJ524305 DXE524305:DXF524305 EHA524305:EHB524305 EQW524305:EQX524305 FAS524305:FAT524305 FKO524305:FKP524305 FUK524305:FUL524305 GEG524305:GEH524305 GOC524305:GOD524305 GXY524305:GXZ524305 HHU524305:HHV524305 HRQ524305:HRR524305 IBM524305:IBN524305 ILI524305:ILJ524305 IVE524305:IVF524305 JFA524305:JFB524305 JOW524305:JOX524305 JYS524305:JYT524305 KIO524305:KIP524305 KSK524305:KSL524305 LCG524305:LCH524305 LMC524305:LMD524305 LVY524305:LVZ524305 MFU524305:MFV524305 MPQ524305:MPR524305 MZM524305:MZN524305 NJI524305:NJJ524305 NTE524305:NTF524305 ODA524305:ODB524305 OMW524305:OMX524305 OWS524305:OWT524305 PGO524305:PGP524305 PQK524305:PQL524305 QAG524305:QAH524305 QKC524305:QKD524305 QTY524305:QTZ524305 RDU524305:RDV524305 RNQ524305:RNR524305 RXM524305:RXN524305 SHI524305:SHJ524305 SRE524305:SRF524305 TBA524305:TBB524305 TKW524305:TKX524305 TUS524305:TUT524305 UEO524305:UEP524305 UOK524305:UOL524305 UYG524305:UYH524305 VIC524305:VID524305 VRY524305:VRZ524305 WBU524305:WBV524305 WLQ524305:WLR524305 WVM524305:WVN524305 E589841:F589841 JA589841:JB589841 SW589841:SX589841 ACS589841:ACT589841 AMO589841:AMP589841 AWK589841:AWL589841 BGG589841:BGH589841 BQC589841:BQD589841 BZY589841:BZZ589841 CJU589841:CJV589841 CTQ589841:CTR589841 DDM589841:DDN589841 DNI589841:DNJ589841 DXE589841:DXF589841 EHA589841:EHB589841 EQW589841:EQX589841 FAS589841:FAT589841 FKO589841:FKP589841 FUK589841:FUL589841 GEG589841:GEH589841 GOC589841:GOD589841 GXY589841:GXZ589841 HHU589841:HHV589841 HRQ589841:HRR589841 IBM589841:IBN589841 ILI589841:ILJ589841 IVE589841:IVF589841 JFA589841:JFB589841 JOW589841:JOX589841 JYS589841:JYT589841 KIO589841:KIP589841 KSK589841:KSL589841 LCG589841:LCH589841 LMC589841:LMD589841 LVY589841:LVZ589841 MFU589841:MFV589841 MPQ589841:MPR589841 MZM589841:MZN589841 NJI589841:NJJ589841 NTE589841:NTF589841 ODA589841:ODB589841 OMW589841:OMX589841 OWS589841:OWT589841 PGO589841:PGP589841 PQK589841:PQL589841 QAG589841:QAH589841 QKC589841:QKD589841 QTY589841:QTZ589841 RDU589841:RDV589841 RNQ589841:RNR589841 RXM589841:RXN589841 SHI589841:SHJ589841 SRE589841:SRF589841 TBA589841:TBB589841 TKW589841:TKX589841 TUS589841:TUT589841 UEO589841:UEP589841 UOK589841:UOL589841 UYG589841:UYH589841 VIC589841:VID589841 VRY589841:VRZ589841 WBU589841:WBV589841 WLQ589841:WLR589841 WVM589841:WVN589841 E655377:F655377 JA655377:JB655377 SW655377:SX655377 ACS655377:ACT655377 AMO655377:AMP655377 AWK655377:AWL655377 BGG655377:BGH655377 BQC655377:BQD655377 BZY655377:BZZ655377 CJU655377:CJV655377 CTQ655377:CTR655377 DDM655377:DDN655377 DNI655377:DNJ655377 DXE655377:DXF655377 EHA655377:EHB655377 EQW655377:EQX655377 FAS655377:FAT655377 FKO655377:FKP655377 FUK655377:FUL655377 GEG655377:GEH655377 GOC655377:GOD655377 GXY655377:GXZ655377 HHU655377:HHV655377 HRQ655377:HRR655377 IBM655377:IBN655377 ILI655377:ILJ655377 IVE655377:IVF655377 JFA655377:JFB655377 JOW655377:JOX655377 JYS655377:JYT655377 KIO655377:KIP655377 KSK655377:KSL655377 LCG655377:LCH655377 LMC655377:LMD655377 LVY655377:LVZ655377 MFU655377:MFV655377 MPQ655377:MPR655377 MZM655377:MZN655377 NJI655377:NJJ655377 NTE655377:NTF655377 ODA655377:ODB655377 OMW655377:OMX655377 OWS655377:OWT655377 PGO655377:PGP655377 PQK655377:PQL655377 QAG655377:QAH655377 QKC655377:QKD655377 QTY655377:QTZ655377 RDU655377:RDV655377 RNQ655377:RNR655377 RXM655377:RXN655377 SHI655377:SHJ655377 SRE655377:SRF655377 TBA655377:TBB655377 TKW655377:TKX655377 TUS655377:TUT655377 UEO655377:UEP655377 UOK655377:UOL655377 UYG655377:UYH655377 VIC655377:VID655377 VRY655377:VRZ655377 WBU655377:WBV655377 WLQ655377:WLR655377 WVM655377:WVN655377 E720913:F720913 JA720913:JB720913 SW720913:SX720913 ACS720913:ACT720913 AMO720913:AMP720913 AWK720913:AWL720913 BGG720913:BGH720913 BQC720913:BQD720913 BZY720913:BZZ720913 CJU720913:CJV720913 CTQ720913:CTR720913 DDM720913:DDN720913 DNI720913:DNJ720913 DXE720913:DXF720913 EHA720913:EHB720913 EQW720913:EQX720913 FAS720913:FAT720913 FKO720913:FKP720913 FUK720913:FUL720913 GEG720913:GEH720913 GOC720913:GOD720913 GXY720913:GXZ720913 HHU720913:HHV720913 HRQ720913:HRR720913 IBM720913:IBN720913 ILI720913:ILJ720913 IVE720913:IVF720913 JFA720913:JFB720913 JOW720913:JOX720913 JYS720913:JYT720913 KIO720913:KIP720913 KSK720913:KSL720913 LCG720913:LCH720913 LMC720913:LMD720913 LVY720913:LVZ720913 MFU720913:MFV720913 MPQ720913:MPR720913 MZM720913:MZN720913 NJI720913:NJJ720913 NTE720913:NTF720913 ODA720913:ODB720913 OMW720913:OMX720913 OWS720913:OWT720913 PGO720913:PGP720913 PQK720913:PQL720913 QAG720913:QAH720913 QKC720913:QKD720913 QTY720913:QTZ720913 RDU720913:RDV720913 RNQ720913:RNR720913 RXM720913:RXN720913 SHI720913:SHJ720913 SRE720913:SRF720913 TBA720913:TBB720913 TKW720913:TKX720913 TUS720913:TUT720913 UEO720913:UEP720913 UOK720913:UOL720913 UYG720913:UYH720913 VIC720913:VID720913 VRY720913:VRZ720913 WBU720913:WBV720913 WLQ720913:WLR720913 WVM720913:WVN720913 E786449:F786449 JA786449:JB786449 SW786449:SX786449 ACS786449:ACT786449 AMO786449:AMP786449 AWK786449:AWL786449 BGG786449:BGH786449 BQC786449:BQD786449 BZY786449:BZZ786449 CJU786449:CJV786449 CTQ786449:CTR786449 DDM786449:DDN786449 DNI786449:DNJ786449 DXE786449:DXF786449 EHA786449:EHB786449 EQW786449:EQX786449 FAS786449:FAT786449 FKO786449:FKP786449 FUK786449:FUL786449 GEG786449:GEH786449 GOC786449:GOD786449 GXY786449:GXZ786449 HHU786449:HHV786449 HRQ786449:HRR786449 IBM786449:IBN786449 ILI786449:ILJ786449 IVE786449:IVF786449 JFA786449:JFB786449 JOW786449:JOX786449 JYS786449:JYT786449 KIO786449:KIP786449 KSK786449:KSL786449 LCG786449:LCH786449 LMC786449:LMD786449 LVY786449:LVZ786449 MFU786449:MFV786449 MPQ786449:MPR786449 MZM786449:MZN786449 NJI786449:NJJ786449 NTE786449:NTF786449 ODA786449:ODB786449 OMW786449:OMX786449 OWS786449:OWT786449 PGO786449:PGP786449 PQK786449:PQL786449 QAG786449:QAH786449 QKC786449:QKD786449 QTY786449:QTZ786449 RDU786449:RDV786449 RNQ786449:RNR786449 RXM786449:RXN786449 SHI786449:SHJ786449 SRE786449:SRF786449 TBA786449:TBB786449 TKW786449:TKX786449 TUS786449:TUT786449 UEO786449:UEP786449 UOK786449:UOL786449 UYG786449:UYH786449 VIC786449:VID786449 VRY786449:VRZ786449 WBU786449:WBV786449 WLQ786449:WLR786449 WVM786449:WVN786449 E851985:F851985 JA851985:JB851985 SW851985:SX851985 ACS851985:ACT851985 AMO851985:AMP851985 AWK851985:AWL851985 BGG851985:BGH851985 BQC851985:BQD851985 BZY851985:BZZ851985 CJU851985:CJV851985 CTQ851985:CTR851985 DDM851985:DDN851985 DNI851985:DNJ851985 DXE851985:DXF851985 EHA851985:EHB851985 EQW851985:EQX851985 FAS851985:FAT851985 FKO851985:FKP851985 FUK851985:FUL851985 GEG851985:GEH851985 GOC851985:GOD851985 GXY851985:GXZ851985 HHU851985:HHV851985 HRQ851985:HRR851985 IBM851985:IBN851985 ILI851985:ILJ851985 IVE851985:IVF851985 JFA851985:JFB851985 JOW851985:JOX851985 JYS851985:JYT851985 KIO851985:KIP851985 KSK851985:KSL851985 LCG851985:LCH851985 LMC851985:LMD851985 LVY851985:LVZ851985 MFU851985:MFV851985 MPQ851985:MPR851985 MZM851985:MZN851985 NJI851985:NJJ851985 NTE851985:NTF851985 ODA851985:ODB851985 OMW851985:OMX851985 OWS851985:OWT851985 PGO851985:PGP851985 PQK851985:PQL851985 QAG851985:QAH851985 QKC851985:QKD851985 QTY851985:QTZ851985 RDU851985:RDV851985 RNQ851985:RNR851985 RXM851985:RXN851985 SHI851985:SHJ851985 SRE851985:SRF851985 TBA851985:TBB851985 TKW851985:TKX851985 TUS851985:TUT851985 UEO851985:UEP851985 UOK851985:UOL851985 UYG851985:UYH851985 VIC851985:VID851985 VRY851985:VRZ851985 WBU851985:WBV851985 WLQ851985:WLR851985 WVM851985:WVN851985 E917521:F917521 JA917521:JB917521 SW917521:SX917521 ACS917521:ACT917521 AMO917521:AMP917521 AWK917521:AWL917521 BGG917521:BGH917521 BQC917521:BQD917521 BZY917521:BZZ917521 CJU917521:CJV917521 CTQ917521:CTR917521 DDM917521:DDN917521 DNI917521:DNJ917521 DXE917521:DXF917521 EHA917521:EHB917521 EQW917521:EQX917521 FAS917521:FAT917521 FKO917521:FKP917521 FUK917521:FUL917521 GEG917521:GEH917521 GOC917521:GOD917521 GXY917521:GXZ917521 HHU917521:HHV917521 HRQ917521:HRR917521 IBM917521:IBN917521 ILI917521:ILJ917521 IVE917521:IVF917521 JFA917521:JFB917521 JOW917521:JOX917521 JYS917521:JYT917521 KIO917521:KIP917521 KSK917521:KSL917521 LCG917521:LCH917521 LMC917521:LMD917521 LVY917521:LVZ917521 MFU917521:MFV917521 MPQ917521:MPR917521 MZM917521:MZN917521 NJI917521:NJJ917521 NTE917521:NTF917521 ODA917521:ODB917521 OMW917521:OMX917521 OWS917521:OWT917521 PGO917521:PGP917521 PQK917521:PQL917521 QAG917521:QAH917521 QKC917521:QKD917521 QTY917521:QTZ917521 RDU917521:RDV917521 RNQ917521:RNR917521 RXM917521:RXN917521 SHI917521:SHJ917521 SRE917521:SRF917521 TBA917521:TBB917521 TKW917521:TKX917521 TUS917521:TUT917521 UEO917521:UEP917521 UOK917521:UOL917521 UYG917521:UYH917521 VIC917521:VID917521 VRY917521:VRZ917521 WBU917521:WBV917521 WLQ917521:WLR917521 WVM917521:WVN917521 E983057:F983057 JA983057:JB983057 SW983057:SX983057 ACS983057:ACT983057 AMO983057:AMP983057 AWK983057:AWL983057 BGG983057:BGH983057 BQC983057:BQD983057 BZY983057:BZZ983057 CJU983057:CJV983057 CTQ983057:CTR983057 DDM983057:DDN983057 DNI983057:DNJ983057 DXE983057:DXF983057 EHA983057:EHB983057 EQW983057:EQX983057 FAS983057:FAT983057 FKO983057:FKP983057 FUK983057:FUL983057 GEG983057:GEH983057 GOC983057:GOD983057 GXY983057:GXZ983057 HHU983057:HHV983057 HRQ983057:HRR983057 IBM983057:IBN983057 ILI983057:ILJ983057 IVE983057:IVF983057 JFA983057:JFB983057 JOW983057:JOX983057 JYS983057:JYT983057 KIO983057:KIP983057 KSK983057:KSL983057 LCG983057:LCH983057 LMC983057:LMD983057 LVY983057:LVZ983057 MFU983057:MFV983057 MPQ983057:MPR983057 MZM983057:MZN983057 NJI983057:NJJ983057 NTE983057:NTF983057 ODA983057:ODB983057 OMW983057:OMX983057 OWS983057:OWT983057 PGO983057:PGP983057 PQK983057:PQL983057 QAG983057:QAH983057 QKC983057:QKD983057 QTY983057:QTZ983057 RDU983057:RDV983057 RNQ983057:RNR983057 RXM983057:RXN983057 SHI983057:SHJ983057 SRE983057:SRF983057 TBA983057:TBB983057 TKW983057:TKX983057 TUS983057:TUT983057 UEO983057:UEP983057 UOK983057:UOL983057 UYG983057:UYH983057 VIC983057:VID983057 VRY983057:VRZ983057 WBU983057:WBV983057 WLQ983057:WLR983057 WVM983057:WVN983057 E85:F85 JA85:JB85 SW85:SX85 ACS85:ACT85 AMO85:AMP85 AWK85:AWL85 BGG85:BGH85 BQC85:BQD85 BZY85:BZZ85 CJU85:CJV85 CTQ85:CTR85 DDM85:DDN85 DNI85:DNJ85 DXE85:DXF85 EHA85:EHB85 EQW85:EQX85 FAS85:FAT85 FKO85:FKP85 FUK85:FUL85 GEG85:GEH85 GOC85:GOD85 GXY85:GXZ85 HHU85:HHV85 HRQ85:HRR85 IBM85:IBN85 ILI85:ILJ85 IVE85:IVF85 JFA85:JFB85 JOW85:JOX85 JYS85:JYT85 KIO85:KIP85 KSK85:KSL85 LCG85:LCH85 LMC85:LMD85 LVY85:LVZ85 MFU85:MFV85 MPQ85:MPR85 MZM85:MZN85 NJI85:NJJ85 NTE85:NTF85 ODA85:ODB85 OMW85:OMX85 OWS85:OWT85 PGO85:PGP85 PQK85:PQL85 QAG85:QAH85 QKC85:QKD85 QTY85:QTZ85 RDU85:RDV85 RNQ85:RNR85 RXM85:RXN85 SHI85:SHJ85 SRE85:SRF85 TBA85:TBB85 TKW85:TKX85 TUS85:TUT85 UEO85:UEP85 UOK85:UOL85 UYG85:UYH85 VIC85:VID85 VRY85:VRZ85 WBU85:WBV85 WLQ85:WLR85 WVM85:WVN85 E65621:F65621 JA65621:JB65621 SW65621:SX65621 ACS65621:ACT65621 AMO65621:AMP65621 AWK65621:AWL65621 BGG65621:BGH65621 BQC65621:BQD65621 BZY65621:BZZ65621 CJU65621:CJV65621 CTQ65621:CTR65621 DDM65621:DDN65621 DNI65621:DNJ65621 DXE65621:DXF65621 EHA65621:EHB65621 EQW65621:EQX65621 FAS65621:FAT65621 FKO65621:FKP65621 FUK65621:FUL65621 GEG65621:GEH65621 GOC65621:GOD65621 GXY65621:GXZ65621 HHU65621:HHV65621 HRQ65621:HRR65621 IBM65621:IBN65621 ILI65621:ILJ65621 IVE65621:IVF65621 JFA65621:JFB65621 JOW65621:JOX65621 JYS65621:JYT65621 KIO65621:KIP65621 KSK65621:KSL65621 LCG65621:LCH65621 LMC65621:LMD65621 LVY65621:LVZ65621 MFU65621:MFV65621 MPQ65621:MPR65621 MZM65621:MZN65621 NJI65621:NJJ65621 NTE65621:NTF65621 ODA65621:ODB65621 OMW65621:OMX65621 OWS65621:OWT65621 PGO65621:PGP65621 PQK65621:PQL65621 QAG65621:QAH65621 QKC65621:QKD65621 QTY65621:QTZ65621 RDU65621:RDV65621 RNQ65621:RNR65621 RXM65621:RXN65621 SHI65621:SHJ65621 SRE65621:SRF65621 TBA65621:TBB65621 TKW65621:TKX65621 TUS65621:TUT65621 UEO65621:UEP65621 UOK65621:UOL65621 UYG65621:UYH65621 VIC65621:VID65621 VRY65621:VRZ65621 WBU65621:WBV65621 WLQ65621:WLR65621 WVM65621:WVN65621 E131157:F131157 JA131157:JB131157 SW131157:SX131157 ACS131157:ACT131157 AMO131157:AMP131157 AWK131157:AWL131157 BGG131157:BGH131157 BQC131157:BQD131157 BZY131157:BZZ131157 CJU131157:CJV131157 CTQ131157:CTR131157 DDM131157:DDN131157 DNI131157:DNJ131157 DXE131157:DXF131157 EHA131157:EHB131157 EQW131157:EQX131157 FAS131157:FAT131157 FKO131157:FKP131157 FUK131157:FUL131157 GEG131157:GEH131157 GOC131157:GOD131157 GXY131157:GXZ131157 HHU131157:HHV131157 HRQ131157:HRR131157 IBM131157:IBN131157 ILI131157:ILJ131157 IVE131157:IVF131157 JFA131157:JFB131157 JOW131157:JOX131157 JYS131157:JYT131157 KIO131157:KIP131157 KSK131157:KSL131157 LCG131157:LCH131157 LMC131157:LMD131157 LVY131157:LVZ131157 MFU131157:MFV131157 MPQ131157:MPR131157 MZM131157:MZN131157 NJI131157:NJJ131157 NTE131157:NTF131157 ODA131157:ODB131157 OMW131157:OMX131157 OWS131157:OWT131157 PGO131157:PGP131157 PQK131157:PQL131157 QAG131157:QAH131157 QKC131157:QKD131157 QTY131157:QTZ131157 RDU131157:RDV131157 RNQ131157:RNR131157 RXM131157:RXN131157 SHI131157:SHJ131157 SRE131157:SRF131157 TBA131157:TBB131157 TKW131157:TKX131157 TUS131157:TUT131157 UEO131157:UEP131157 UOK131157:UOL131157 UYG131157:UYH131157 VIC131157:VID131157 VRY131157:VRZ131157 WBU131157:WBV131157 WLQ131157:WLR131157 WVM131157:WVN131157 E196693:F196693 JA196693:JB196693 SW196693:SX196693 ACS196693:ACT196693 AMO196693:AMP196693 AWK196693:AWL196693 BGG196693:BGH196693 BQC196693:BQD196693 BZY196693:BZZ196693 CJU196693:CJV196693 CTQ196693:CTR196693 DDM196693:DDN196693 DNI196693:DNJ196693 DXE196693:DXF196693 EHA196693:EHB196693 EQW196693:EQX196693 FAS196693:FAT196693 FKO196693:FKP196693 FUK196693:FUL196693 GEG196693:GEH196693 GOC196693:GOD196693 GXY196693:GXZ196693 HHU196693:HHV196693 HRQ196693:HRR196693 IBM196693:IBN196693 ILI196693:ILJ196693 IVE196693:IVF196693 JFA196693:JFB196693 JOW196693:JOX196693 JYS196693:JYT196693 KIO196693:KIP196693 KSK196693:KSL196693 LCG196693:LCH196693 LMC196693:LMD196693 LVY196693:LVZ196693 MFU196693:MFV196693 MPQ196693:MPR196693 MZM196693:MZN196693 NJI196693:NJJ196693 NTE196693:NTF196693 ODA196693:ODB196693 OMW196693:OMX196693 OWS196693:OWT196693 PGO196693:PGP196693 PQK196693:PQL196693 QAG196693:QAH196693 QKC196693:QKD196693 QTY196693:QTZ196693 RDU196693:RDV196693 RNQ196693:RNR196693 RXM196693:RXN196693 SHI196693:SHJ196693 SRE196693:SRF196693 TBA196693:TBB196693 TKW196693:TKX196693 TUS196693:TUT196693 UEO196693:UEP196693 UOK196693:UOL196693 UYG196693:UYH196693 VIC196693:VID196693 VRY196693:VRZ196693 WBU196693:WBV196693 WLQ196693:WLR196693 WVM196693:WVN196693 E262229:F262229 JA262229:JB262229 SW262229:SX262229 ACS262229:ACT262229 AMO262229:AMP262229 AWK262229:AWL262229 BGG262229:BGH262229 BQC262229:BQD262229 BZY262229:BZZ262229 CJU262229:CJV262229 CTQ262229:CTR262229 DDM262229:DDN262229 DNI262229:DNJ262229 DXE262229:DXF262229 EHA262229:EHB262229 EQW262229:EQX262229 FAS262229:FAT262229 FKO262229:FKP262229 FUK262229:FUL262229 GEG262229:GEH262229 GOC262229:GOD262229 GXY262229:GXZ262229 HHU262229:HHV262229 HRQ262229:HRR262229 IBM262229:IBN262229 ILI262229:ILJ262229 IVE262229:IVF262229 JFA262229:JFB262229 JOW262229:JOX262229 JYS262229:JYT262229 KIO262229:KIP262229 KSK262229:KSL262229 LCG262229:LCH262229 LMC262229:LMD262229 LVY262229:LVZ262229 MFU262229:MFV262229 MPQ262229:MPR262229 MZM262229:MZN262229 NJI262229:NJJ262229 NTE262229:NTF262229 ODA262229:ODB262229 OMW262229:OMX262229 OWS262229:OWT262229 PGO262229:PGP262229 PQK262229:PQL262229 QAG262229:QAH262229 QKC262229:QKD262229 QTY262229:QTZ262229 RDU262229:RDV262229 RNQ262229:RNR262229 RXM262229:RXN262229 SHI262229:SHJ262229 SRE262229:SRF262229 TBA262229:TBB262229 TKW262229:TKX262229 TUS262229:TUT262229 UEO262229:UEP262229 UOK262229:UOL262229 UYG262229:UYH262229 VIC262229:VID262229 VRY262229:VRZ262229 WBU262229:WBV262229 WLQ262229:WLR262229 WVM262229:WVN262229 E327765:F327765 JA327765:JB327765 SW327765:SX327765 ACS327765:ACT327765 AMO327765:AMP327765 AWK327765:AWL327765 BGG327765:BGH327765 BQC327765:BQD327765 BZY327765:BZZ327765 CJU327765:CJV327765 CTQ327765:CTR327765 DDM327765:DDN327765 DNI327765:DNJ327765 DXE327765:DXF327765 EHA327765:EHB327765 EQW327765:EQX327765 FAS327765:FAT327765 FKO327765:FKP327765 FUK327765:FUL327765 GEG327765:GEH327765 GOC327765:GOD327765 GXY327765:GXZ327765 HHU327765:HHV327765 HRQ327765:HRR327765 IBM327765:IBN327765 ILI327765:ILJ327765 IVE327765:IVF327765 JFA327765:JFB327765 JOW327765:JOX327765 JYS327765:JYT327765 KIO327765:KIP327765 KSK327765:KSL327765 LCG327765:LCH327765 LMC327765:LMD327765 LVY327765:LVZ327765 MFU327765:MFV327765 MPQ327765:MPR327765 MZM327765:MZN327765 NJI327765:NJJ327765 NTE327765:NTF327765 ODA327765:ODB327765 OMW327765:OMX327765 OWS327765:OWT327765 PGO327765:PGP327765 PQK327765:PQL327765 QAG327765:QAH327765 QKC327765:QKD327765 QTY327765:QTZ327765 RDU327765:RDV327765 RNQ327765:RNR327765 RXM327765:RXN327765 SHI327765:SHJ327765 SRE327765:SRF327765 TBA327765:TBB327765 TKW327765:TKX327765 TUS327765:TUT327765 UEO327765:UEP327765 UOK327765:UOL327765 UYG327765:UYH327765 VIC327765:VID327765 VRY327765:VRZ327765 WBU327765:WBV327765 WLQ327765:WLR327765 WVM327765:WVN327765 E393301:F393301 JA393301:JB393301 SW393301:SX393301 ACS393301:ACT393301 AMO393301:AMP393301 AWK393301:AWL393301 BGG393301:BGH393301 BQC393301:BQD393301 BZY393301:BZZ393301 CJU393301:CJV393301 CTQ393301:CTR393301 DDM393301:DDN393301 DNI393301:DNJ393301 DXE393301:DXF393301 EHA393301:EHB393301 EQW393301:EQX393301 FAS393301:FAT393301 FKO393301:FKP393301 FUK393301:FUL393301 GEG393301:GEH393301 GOC393301:GOD393301 GXY393301:GXZ393301 HHU393301:HHV393301 HRQ393301:HRR393301 IBM393301:IBN393301 ILI393301:ILJ393301 IVE393301:IVF393301 JFA393301:JFB393301 JOW393301:JOX393301 JYS393301:JYT393301 KIO393301:KIP393301 KSK393301:KSL393301 LCG393301:LCH393301 LMC393301:LMD393301 LVY393301:LVZ393301 MFU393301:MFV393301 MPQ393301:MPR393301 MZM393301:MZN393301 NJI393301:NJJ393301 NTE393301:NTF393301 ODA393301:ODB393301 OMW393301:OMX393301 OWS393301:OWT393301 PGO393301:PGP393301 PQK393301:PQL393301 QAG393301:QAH393301 QKC393301:QKD393301 QTY393301:QTZ393301 RDU393301:RDV393301 RNQ393301:RNR393301 RXM393301:RXN393301 SHI393301:SHJ393301 SRE393301:SRF393301 TBA393301:TBB393301 TKW393301:TKX393301 TUS393301:TUT393301 UEO393301:UEP393301 UOK393301:UOL393301 UYG393301:UYH393301 VIC393301:VID393301 VRY393301:VRZ393301 WBU393301:WBV393301 WLQ393301:WLR393301 WVM393301:WVN393301 E458837:F458837 JA458837:JB458837 SW458837:SX458837 ACS458837:ACT458837 AMO458837:AMP458837 AWK458837:AWL458837 BGG458837:BGH458837 BQC458837:BQD458837 BZY458837:BZZ458837 CJU458837:CJV458837 CTQ458837:CTR458837 DDM458837:DDN458837 DNI458837:DNJ458837 DXE458837:DXF458837 EHA458837:EHB458837 EQW458837:EQX458837 FAS458837:FAT458837 FKO458837:FKP458837 FUK458837:FUL458837 GEG458837:GEH458837 GOC458837:GOD458837 GXY458837:GXZ458837 HHU458837:HHV458837 HRQ458837:HRR458837 IBM458837:IBN458837 ILI458837:ILJ458837 IVE458837:IVF458837 JFA458837:JFB458837 JOW458837:JOX458837 JYS458837:JYT458837 KIO458837:KIP458837 KSK458837:KSL458837 LCG458837:LCH458837 LMC458837:LMD458837 LVY458837:LVZ458837 MFU458837:MFV458837 MPQ458837:MPR458837 MZM458837:MZN458837 NJI458837:NJJ458837 NTE458837:NTF458837 ODA458837:ODB458837 OMW458837:OMX458837 OWS458837:OWT458837 PGO458837:PGP458837 PQK458837:PQL458837 QAG458837:QAH458837 QKC458837:QKD458837 QTY458837:QTZ458837 RDU458837:RDV458837 RNQ458837:RNR458837 RXM458837:RXN458837 SHI458837:SHJ458837 SRE458837:SRF458837 TBA458837:TBB458837 TKW458837:TKX458837 TUS458837:TUT458837 UEO458837:UEP458837 UOK458837:UOL458837 UYG458837:UYH458837 VIC458837:VID458837 VRY458837:VRZ458837 WBU458837:WBV458837 WLQ458837:WLR458837 WVM458837:WVN458837 E524373:F524373 JA524373:JB524373 SW524373:SX524373 ACS524373:ACT524373 AMO524373:AMP524373 AWK524373:AWL524373 BGG524373:BGH524373 BQC524373:BQD524373 BZY524373:BZZ524373 CJU524373:CJV524373 CTQ524373:CTR524373 DDM524373:DDN524373 DNI524373:DNJ524373 DXE524373:DXF524373 EHA524373:EHB524373 EQW524373:EQX524373 FAS524373:FAT524373 FKO524373:FKP524373 FUK524373:FUL524373 GEG524373:GEH524373 GOC524373:GOD524373 GXY524373:GXZ524373 HHU524373:HHV524373 HRQ524373:HRR524373 IBM524373:IBN524373 ILI524373:ILJ524373 IVE524373:IVF524373 JFA524373:JFB524373 JOW524373:JOX524373 JYS524373:JYT524373 KIO524373:KIP524373 KSK524373:KSL524373 LCG524373:LCH524373 LMC524373:LMD524373 LVY524373:LVZ524373 MFU524373:MFV524373 MPQ524373:MPR524373 MZM524373:MZN524373 NJI524373:NJJ524373 NTE524373:NTF524373 ODA524373:ODB524373 OMW524373:OMX524373 OWS524373:OWT524373 PGO524373:PGP524373 PQK524373:PQL524373 QAG524373:QAH524373 QKC524373:QKD524373 QTY524373:QTZ524373 RDU524373:RDV524373 RNQ524373:RNR524373 RXM524373:RXN524373 SHI524373:SHJ524373 SRE524373:SRF524373 TBA524373:TBB524373 TKW524373:TKX524373 TUS524373:TUT524373 UEO524373:UEP524373 UOK524373:UOL524373 UYG524373:UYH524373 VIC524373:VID524373 VRY524373:VRZ524373 WBU524373:WBV524373 WLQ524373:WLR524373 WVM524373:WVN524373 E589909:F589909 JA589909:JB589909 SW589909:SX589909 ACS589909:ACT589909 AMO589909:AMP589909 AWK589909:AWL589909 BGG589909:BGH589909 BQC589909:BQD589909 BZY589909:BZZ589909 CJU589909:CJV589909 CTQ589909:CTR589909 DDM589909:DDN589909 DNI589909:DNJ589909 DXE589909:DXF589909 EHA589909:EHB589909 EQW589909:EQX589909 FAS589909:FAT589909 FKO589909:FKP589909 FUK589909:FUL589909 GEG589909:GEH589909 GOC589909:GOD589909 GXY589909:GXZ589909 HHU589909:HHV589909 HRQ589909:HRR589909 IBM589909:IBN589909 ILI589909:ILJ589909 IVE589909:IVF589909 JFA589909:JFB589909 JOW589909:JOX589909 JYS589909:JYT589909 KIO589909:KIP589909 KSK589909:KSL589909 LCG589909:LCH589909 LMC589909:LMD589909 LVY589909:LVZ589909 MFU589909:MFV589909 MPQ589909:MPR589909 MZM589909:MZN589909 NJI589909:NJJ589909 NTE589909:NTF589909 ODA589909:ODB589909 OMW589909:OMX589909 OWS589909:OWT589909 PGO589909:PGP589909 PQK589909:PQL589909 QAG589909:QAH589909 QKC589909:QKD589909 QTY589909:QTZ589909 RDU589909:RDV589909 RNQ589909:RNR589909 RXM589909:RXN589909 SHI589909:SHJ589909 SRE589909:SRF589909 TBA589909:TBB589909 TKW589909:TKX589909 TUS589909:TUT589909 UEO589909:UEP589909 UOK589909:UOL589909 UYG589909:UYH589909 VIC589909:VID589909 VRY589909:VRZ589909 WBU589909:WBV589909 WLQ589909:WLR589909 WVM589909:WVN589909 E655445:F655445 JA655445:JB655445 SW655445:SX655445 ACS655445:ACT655445 AMO655445:AMP655445 AWK655445:AWL655445 BGG655445:BGH655445 BQC655445:BQD655445 BZY655445:BZZ655445 CJU655445:CJV655445 CTQ655445:CTR655445 DDM655445:DDN655445 DNI655445:DNJ655445 DXE655445:DXF655445 EHA655445:EHB655445 EQW655445:EQX655445 FAS655445:FAT655445 FKO655445:FKP655445 FUK655445:FUL655445 GEG655445:GEH655445 GOC655445:GOD655445 GXY655445:GXZ655445 HHU655445:HHV655445 HRQ655445:HRR655445 IBM655445:IBN655445 ILI655445:ILJ655445 IVE655445:IVF655445 JFA655445:JFB655445 JOW655445:JOX655445 JYS655445:JYT655445 KIO655445:KIP655445 KSK655445:KSL655445 LCG655445:LCH655445 LMC655445:LMD655445 LVY655445:LVZ655445 MFU655445:MFV655445 MPQ655445:MPR655445 MZM655445:MZN655445 NJI655445:NJJ655445 NTE655445:NTF655445 ODA655445:ODB655445 OMW655445:OMX655445 OWS655445:OWT655445 PGO655445:PGP655445 PQK655445:PQL655445 QAG655445:QAH655445 QKC655445:QKD655445 QTY655445:QTZ655445 RDU655445:RDV655445 RNQ655445:RNR655445 RXM655445:RXN655445 SHI655445:SHJ655445 SRE655445:SRF655445 TBA655445:TBB655445 TKW655445:TKX655445 TUS655445:TUT655445 UEO655445:UEP655445 UOK655445:UOL655445 UYG655445:UYH655445 VIC655445:VID655445 VRY655445:VRZ655445 WBU655445:WBV655445 WLQ655445:WLR655445 WVM655445:WVN655445 E720981:F720981 JA720981:JB720981 SW720981:SX720981 ACS720981:ACT720981 AMO720981:AMP720981 AWK720981:AWL720981 BGG720981:BGH720981 BQC720981:BQD720981 BZY720981:BZZ720981 CJU720981:CJV720981 CTQ720981:CTR720981 DDM720981:DDN720981 DNI720981:DNJ720981 DXE720981:DXF720981 EHA720981:EHB720981 EQW720981:EQX720981 FAS720981:FAT720981 FKO720981:FKP720981 FUK720981:FUL720981 GEG720981:GEH720981 GOC720981:GOD720981 GXY720981:GXZ720981 HHU720981:HHV720981 HRQ720981:HRR720981 IBM720981:IBN720981 ILI720981:ILJ720981 IVE720981:IVF720981 JFA720981:JFB720981 JOW720981:JOX720981 JYS720981:JYT720981 KIO720981:KIP720981 KSK720981:KSL720981 LCG720981:LCH720981 LMC720981:LMD720981 LVY720981:LVZ720981 MFU720981:MFV720981 MPQ720981:MPR720981 MZM720981:MZN720981 NJI720981:NJJ720981 NTE720981:NTF720981 ODA720981:ODB720981 OMW720981:OMX720981 OWS720981:OWT720981 PGO720981:PGP720981 PQK720981:PQL720981 QAG720981:QAH720981 QKC720981:QKD720981 QTY720981:QTZ720981 RDU720981:RDV720981 RNQ720981:RNR720981 RXM720981:RXN720981 SHI720981:SHJ720981 SRE720981:SRF720981 TBA720981:TBB720981 TKW720981:TKX720981 TUS720981:TUT720981 UEO720981:UEP720981 UOK720981:UOL720981 UYG720981:UYH720981 VIC720981:VID720981 VRY720981:VRZ720981 WBU720981:WBV720981 WLQ720981:WLR720981 WVM720981:WVN720981 E786517:F786517 JA786517:JB786517 SW786517:SX786517 ACS786517:ACT786517 AMO786517:AMP786517 AWK786517:AWL786517 BGG786517:BGH786517 BQC786517:BQD786517 BZY786517:BZZ786517 CJU786517:CJV786517 CTQ786517:CTR786517 DDM786517:DDN786517 DNI786517:DNJ786517 DXE786517:DXF786517 EHA786517:EHB786517 EQW786517:EQX786517 FAS786517:FAT786517 FKO786517:FKP786517 FUK786517:FUL786517 GEG786517:GEH786517 GOC786517:GOD786517 GXY786517:GXZ786517 HHU786517:HHV786517 HRQ786517:HRR786517 IBM786517:IBN786517 ILI786517:ILJ786517 IVE786517:IVF786517 JFA786517:JFB786517 JOW786517:JOX786517 JYS786517:JYT786517 KIO786517:KIP786517 KSK786517:KSL786517 LCG786517:LCH786517 LMC786517:LMD786517 LVY786517:LVZ786517 MFU786517:MFV786517 MPQ786517:MPR786517 MZM786517:MZN786517 NJI786517:NJJ786517 NTE786517:NTF786517 ODA786517:ODB786517 OMW786517:OMX786517 OWS786517:OWT786517 PGO786517:PGP786517 PQK786517:PQL786517 QAG786517:QAH786517 QKC786517:QKD786517 QTY786517:QTZ786517 RDU786517:RDV786517 RNQ786517:RNR786517 RXM786517:RXN786517 SHI786517:SHJ786517 SRE786517:SRF786517 TBA786517:TBB786517 TKW786517:TKX786517 TUS786517:TUT786517 UEO786517:UEP786517 UOK786517:UOL786517 UYG786517:UYH786517 VIC786517:VID786517 VRY786517:VRZ786517 WBU786517:WBV786517 WLQ786517:WLR786517 WVM786517:WVN786517 E852053:F852053 JA852053:JB852053 SW852053:SX852053 ACS852053:ACT852053 AMO852053:AMP852053 AWK852053:AWL852053 BGG852053:BGH852053 BQC852053:BQD852053 BZY852053:BZZ852053 CJU852053:CJV852053 CTQ852053:CTR852053 DDM852053:DDN852053 DNI852053:DNJ852053 DXE852053:DXF852053 EHA852053:EHB852053 EQW852053:EQX852053 FAS852053:FAT852053 FKO852053:FKP852053 FUK852053:FUL852053 GEG852053:GEH852053 GOC852053:GOD852053 GXY852053:GXZ852053 HHU852053:HHV852053 HRQ852053:HRR852053 IBM852053:IBN852053 ILI852053:ILJ852053 IVE852053:IVF852053 JFA852053:JFB852053 JOW852053:JOX852053 JYS852053:JYT852053 KIO852053:KIP852053 KSK852053:KSL852053 LCG852053:LCH852053 LMC852053:LMD852053 LVY852053:LVZ852053 MFU852053:MFV852053 MPQ852053:MPR852053 MZM852053:MZN852053 NJI852053:NJJ852053 NTE852053:NTF852053 ODA852053:ODB852053 OMW852053:OMX852053 OWS852053:OWT852053 PGO852053:PGP852053 PQK852053:PQL852053 QAG852053:QAH852053 QKC852053:QKD852053 QTY852053:QTZ852053 RDU852053:RDV852053 RNQ852053:RNR852053 RXM852053:RXN852053 SHI852053:SHJ852053 SRE852053:SRF852053 TBA852053:TBB852053 TKW852053:TKX852053 TUS852053:TUT852053 UEO852053:UEP852053 UOK852053:UOL852053 UYG852053:UYH852053 VIC852053:VID852053 VRY852053:VRZ852053 WBU852053:WBV852053 WLQ852053:WLR852053 WVM852053:WVN852053 E917589:F917589 JA917589:JB917589 SW917589:SX917589 ACS917589:ACT917589 AMO917589:AMP917589 AWK917589:AWL917589 BGG917589:BGH917589 BQC917589:BQD917589 BZY917589:BZZ917589 CJU917589:CJV917589 CTQ917589:CTR917589 DDM917589:DDN917589 DNI917589:DNJ917589 DXE917589:DXF917589 EHA917589:EHB917589 EQW917589:EQX917589 FAS917589:FAT917589 FKO917589:FKP917589 FUK917589:FUL917589 GEG917589:GEH917589 GOC917589:GOD917589 GXY917589:GXZ917589 HHU917589:HHV917589 HRQ917589:HRR917589 IBM917589:IBN917589 ILI917589:ILJ917589 IVE917589:IVF917589 JFA917589:JFB917589 JOW917589:JOX917589 JYS917589:JYT917589 KIO917589:KIP917589 KSK917589:KSL917589 LCG917589:LCH917589 LMC917589:LMD917589 LVY917589:LVZ917589 MFU917589:MFV917589 MPQ917589:MPR917589 MZM917589:MZN917589 NJI917589:NJJ917589 NTE917589:NTF917589 ODA917589:ODB917589 OMW917589:OMX917589 OWS917589:OWT917589 PGO917589:PGP917589 PQK917589:PQL917589 QAG917589:QAH917589 QKC917589:QKD917589 QTY917589:QTZ917589 RDU917589:RDV917589 RNQ917589:RNR917589 RXM917589:RXN917589 SHI917589:SHJ917589 SRE917589:SRF917589 TBA917589:TBB917589 TKW917589:TKX917589 TUS917589:TUT917589 UEO917589:UEP917589 UOK917589:UOL917589 UYG917589:UYH917589 VIC917589:VID917589 VRY917589:VRZ917589 WBU917589:WBV917589 WLQ917589:WLR917589 WVM917589:WVN917589 E983125:F983125 JA983125:JB983125 SW983125:SX983125 ACS983125:ACT983125 AMO983125:AMP983125 AWK983125:AWL983125 BGG983125:BGH983125 BQC983125:BQD983125 BZY983125:BZZ983125 CJU983125:CJV983125 CTQ983125:CTR983125 DDM983125:DDN983125 DNI983125:DNJ983125 DXE983125:DXF983125 EHA983125:EHB983125 EQW983125:EQX983125 FAS983125:FAT983125 FKO983125:FKP983125 FUK983125:FUL983125 GEG983125:GEH983125 GOC983125:GOD983125 GXY983125:GXZ983125 HHU983125:HHV983125 HRQ983125:HRR983125 IBM983125:IBN983125 ILI983125:ILJ983125 IVE983125:IVF983125 JFA983125:JFB983125 JOW983125:JOX983125 JYS983125:JYT983125 KIO983125:KIP983125 KSK983125:KSL983125 LCG983125:LCH983125 LMC983125:LMD983125 LVY983125:LVZ983125 MFU983125:MFV983125 MPQ983125:MPR983125 MZM983125:MZN983125 NJI983125:NJJ983125 NTE983125:NTF983125 ODA983125:ODB983125 OMW983125:OMX983125 OWS983125:OWT983125 PGO983125:PGP983125 PQK983125:PQL983125 QAG983125:QAH983125 QKC983125:QKD983125 QTY983125:QTZ983125 RDU983125:RDV983125 RNQ983125:RNR983125 RXM983125:RXN983125 SHI983125:SHJ983125 SRE983125:SRF983125 TBA983125:TBB983125 TKW983125:TKX983125 TUS983125:TUT983125 UEO983125:UEP983125 UOK983125:UOL983125 UYG983125:UYH983125 VIC983125:VID983125 VRY983125:VRZ983125 WBU983125:WBV983125 WLQ983125:WLR983125 WVM983125:WVN983125 E51:F51 JA51:JB51 SW51:SX51 ACS51:ACT51 AMO51:AMP51 AWK51:AWL51 BGG51:BGH51 BQC51:BQD51 BZY51:BZZ51 CJU51:CJV51 CTQ51:CTR51 DDM51:DDN51 DNI51:DNJ51 DXE51:DXF51 EHA51:EHB51 EQW51:EQX51 FAS51:FAT51 FKO51:FKP51 FUK51:FUL51 GEG51:GEH51 GOC51:GOD51 GXY51:GXZ51 HHU51:HHV51 HRQ51:HRR51 IBM51:IBN51 ILI51:ILJ51 IVE51:IVF51 JFA51:JFB51 JOW51:JOX51 JYS51:JYT51 KIO51:KIP51 KSK51:KSL51 LCG51:LCH51 LMC51:LMD51 LVY51:LVZ51 MFU51:MFV51 MPQ51:MPR51 MZM51:MZN51 NJI51:NJJ51 NTE51:NTF51 ODA51:ODB51 OMW51:OMX51 OWS51:OWT51 PGO51:PGP51 PQK51:PQL51 QAG51:QAH51 QKC51:QKD51 QTY51:QTZ51 RDU51:RDV51 RNQ51:RNR51 RXM51:RXN51 SHI51:SHJ51 SRE51:SRF51 TBA51:TBB51 TKW51:TKX51 TUS51:TUT51 UEO51:UEP51 UOK51:UOL51 UYG51:UYH51 VIC51:VID51 VRY51:VRZ51 WBU51:WBV51 WLQ51:WLR51 WVM51:WVN51 E65587:F65587 JA65587:JB65587 SW65587:SX65587 ACS65587:ACT65587 AMO65587:AMP65587 AWK65587:AWL65587 BGG65587:BGH65587 BQC65587:BQD65587 BZY65587:BZZ65587 CJU65587:CJV65587 CTQ65587:CTR65587 DDM65587:DDN65587 DNI65587:DNJ65587 DXE65587:DXF65587 EHA65587:EHB65587 EQW65587:EQX65587 FAS65587:FAT65587 FKO65587:FKP65587 FUK65587:FUL65587 GEG65587:GEH65587 GOC65587:GOD65587 GXY65587:GXZ65587 HHU65587:HHV65587 HRQ65587:HRR65587 IBM65587:IBN65587 ILI65587:ILJ65587 IVE65587:IVF65587 JFA65587:JFB65587 JOW65587:JOX65587 JYS65587:JYT65587 KIO65587:KIP65587 KSK65587:KSL65587 LCG65587:LCH65587 LMC65587:LMD65587 LVY65587:LVZ65587 MFU65587:MFV65587 MPQ65587:MPR65587 MZM65587:MZN65587 NJI65587:NJJ65587 NTE65587:NTF65587 ODA65587:ODB65587 OMW65587:OMX65587 OWS65587:OWT65587 PGO65587:PGP65587 PQK65587:PQL65587 QAG65587:QAH65587 QKC65587:QKD65587 QTY65587:QTZ65587 RDU65587:RDV65587 RNQ65587:RNR65587 RXM65587:RXN65587 SHI65587:SHJ65587 SRE65587:SRF65587 TBA65587:TBB65587 TKW65587:TKX65587 TUS65587:TUT65587 UEO65587:UEP65587 UOK65587:UOL65587 UYG65587:UYH65587 VIC65587:VID65587 VRY65587:VRZ65587 WBU65587:WBV65587 WLQ65587:WLR65587 WVM65587:WVN65587 E131123:F131123 JA131123:JB131123 SW131123:SX131123 ACS131123:ACT131123 AMO131123:AMP131123 AWK131123:AWL131123 BGG131123:BGH131123 BQC131123:BQD131123 BZY131123:BZZ131123 CJU131123:CJV131123 CTQ131123:CTR131123 DDM131123:DDN131123 DNI131123:DNJ131123 DXE131123:DXF131123 EHA131123:EHB131123 EQW131123:EQX131123 FAS131123:FAT131123 FKO131123:FKP131123 FUK131123:FUL131123 GEG131123:GEH131123 GOC131123:GOD131123 GXY131123:GXZ131123 HHU131123:HHV131123 HRQ131123:HRR131123 IBM131123:IBN131123 ILI131123:ILJ131123 IVE131123:IVF131123 JFA131123:JFB131123 JOW131123:JOX131123 JYS131123:JYT131123 KIO131123:KIP131123 KSK131123:KSL131123 LCG131123:LCH131123 LMC131123:LMD131123 LVY131123:LVZ131123 MFU131123:MFV131123 MPQ131123:MPR131123 MZM131123:MZN131123 NJI131123:NJJ131123 NTE131123:NTF131123 ODA131123:ODB131123 OMW131123:OMX131123 OWS131123:OWT131123 PGO131123:PGP131123 PQK131123:PQL131123 QAG131123:QAH131123 QKC131123:QKD131123 QTY131123:QTZ131123 RDU131123:RDV131123 RNQ131123:RNR131123 RXM131123:RXN131123 SHI131123:SHJ131123 SRE131123:SRF131123 TBA131123:TBB131123 TKW131123:TKX131123 TUS131123:TUT131123 UEO131123:UEP131123 UOK131123:UOL131123 UYG131123:UYH131123 VIC131123:VID131123 VRY131123:VRZ131123 WBU131123:WBV131123 WLQ131123:WLR131123 WVM131123:WVN131123 E196659:F196659 JA196659:JB196659 SW196659:SX196659 ACS196659:ACT196659 AMO196659:AMP196659 AWK196659:AWL196659 BGG196659:BGH196659 BQC196659:BQD196659 BZY196659:BZZ196659 CJU196659:CJV196659 CTQ196659:CTR196659 DDM196659:DDN196659 DNI196659:DNJ196659 DXE196659:DXF196659 EHA196659:EHB196659 EQW196659:EQX196659 FAS196659:FAT196659 FKO196659:FKP196659 FUK196659:FUL196659 GEG196659:GEH196659 GOC196659:GOD196659 GXY196659:GXZ196659 HHU196659:HHV196659 HRQ196659:HRR196659 IBM196659:IBN196659 ILI196659:ILJ196659 IVE196659:IVF196659 JFA196659:JFB196659 JOW196659:JOX196659 JYS196659:JYT196659 KIO196659:KIP196659 KSK196659:KSL196659 LCG196659:LCH196659 LMC196659:LMD196659 LVY196659:LVZ196659 MFU196659:MFV196659 MPQ196659:MPR196659 MZM196659:MZN196659 NJI196659:NJJ196659 NTE196659:NTF196659 ODA196659:ODB196659 OMW196659:OMX196659 OWS196659:OWT196659 PGO196659:PGP196659 PQK196659:PQL196659 QAG196659:QAH196659 QKC196659:QKD196659 QTY196659:QTZ196659 RDU196659:RDV196659 RNQ196659:RNR196659 RXM196659:RXN196659 SHI196659:SHJ196659 SRE196659:SRF196659 TBA196659:TBB196659 TKW196659:TKX196659 TUS196659:TUT196659 UEO196659:UEP196659 UOK196659:UOL196659 UYG196659:UYH196659 VIC196659:VID196659 VRY196659:VRZ196659 WBU196659:WBV196659 WLQ196659:WLR196659 WVM196659:WVN196659 E262195:F262195 JA262195:JB262195 SW262195:SX262195 ACS262195:ACT262195 AMO262195:AMP262195 AWK262195:AWL262195 BGG262195:BGH262195 BQC262195:BQD262195 BZY262195:BZZ262195 CJU262195:CJV262195 CTQ262195:CTR262195 DDM262195:DDN262195 DNI262195:DNJ262195 DXE262195:DXF262195 EHA262195:EHB262195 EQW262195:EQX262195 FAS262195:FAT262195 FKO262195:FKP262195 FUK262195:FUL262195 GEG262195:GEH262195 GOC262195:GOD262195 GXY262195:GXZ262195 HHU262195:HHV262195 HRQ262195:HRR262195 IBM262195:IBN262195 ILI262195:ILJ262195 IVE262195:IVF262195 JFA262195:JFB262195 JOW262195:JOX262195 JYS262195:JYT262195 KIO262195:KIP262195 KSK262195:KSL262195 LCG262195:LCH262195 LMC262195:LMD262195 LVY262195:LVZ262195 MFU262195:MFV262195 MPQ262195:MPR262195 MZM262195:MZN262195 NJI262195:NJJ262195 NTE262195:NTF262195 ODA262195:ODB262195 OMW262195:OMX262195 OWS262195:OWT262195 PGO262195:PGP262195 PQK262195:PQL262195 QAG262195:QAH262195 QKC262195:QKD262195 QTY262195:QTZ262195 RDU262195:RDV262195 RNQ262195:RNR262195 RXM262195:RXN262195 SHI262195:SHJ262195 SRE262195:SRF262195 TBA262195:TBB262195 TKW262195:TKX262195 TUS262195:TUT262195 UEO262195:UEP262195 UOK262195:UOL262195 UYG262195:UYH262195 VIC262195:VID262195 VRY262195:VRZ262195 WBU262195:WBV262195 WLQ262195:WLR262195 WVM262195:WVN262195 E327731:F327731 JA327731:JB327731 SW327731:SX327731 ACS327731:ACT327731 AMO327731:AMP327731 AWK327731:AWL327731 BGG327731:BGH327731 BQC327731:BQD327731 BZY327731:BZZ327731 CJU327731:CJV327731 CTQ327731:CTR327731 DDM327731:DDN327731 DNI327731:DNJ327731 DXE327731:DXF327731 EHA327731:EHB327731 EQW327731:EQX327731 FAS327731:FAT327731 FKO327731:FKP327731 FUK327731:FUL327731 GEG327731:GEH327731 GOC327731:GOD327731 GXY327731:GXZ327731 HHU327731:HHV327731 HRQ327731:HRR327731 IBM327731:IBN327731 ILI327731:ILJ327731 IVE327731:IVF327731 JFA327731:JFB327731 JOW327731:JOX327731 JYS327731:JYT327731 KIO327731:KIP327731 KSK327731:KSL327731 LCG327731:LCH327731 LMC327731:LMD327731 LVY327731:LVZ327731 MFU327731:MFV327731 MPQ327731:MPR327731 MZM327731:MZN327731 NJI327731:NJJ327731 NTE327731:NTF327731 ODA327731:ODB327731 OMW327731:OMX327731 OWS327731:OWT327731 PGO327731:PGP327731 PQK327731:PQL327731 QAG327731:QAH327731 QKC327731:QKD327731 QTY327731:QTZ327731 RDU327731:RDV327731 RNQ327731:RNR327731 RXM327731:RXN327731 SHI327731:SHJ327731 SRE327731:SRF327731 TBA327731:TBB327731 TKW327731:TKX327731 TUS327731:TUT327731 UEO327731:UEP327731 UOK327731:UOL327731 UYG327731:UYH327731 VIC327731:VID327731 VRY327731:VRZ327731 WBU327731:WBV327731 WLQ327731:WLR327731 WVM327731:WVN327731 E393267:F393267 JA393267:JB393267 SW393267:SX393267 ACS393267:ACT393267 AMO393267:AMP393267 AWK393267:AWL393267 BGG393267:BGH393267 BQC393267:BQD393267 BZY393267:BZZ393267 CJU393267:CJV393267 CTQ393267:CTR393267 DDM393267:DDN393267 DNI393267:DNJ393267 DXE393267:DXF393267 EHA393267:EHB393267 EQW393267:EQX393267 FAS393267:FAT393267 FKO393267:FKP393267 FUK393267:FUL393267 GEG393267:GEH393267 GOC393267:GOD393267 GXY393267:GXZ393267 HHU393267:HHV393267 HRQ393267:HRR393267 IBM393267:IBN393267 ILI393267:ILJ393267 IVE393267:IVF393267 JFA393267:JFB393267 JOW393267:JOX393267 JYS393267:JYT393267 KIO393267:KIP393267 KSK393267:KSL393267 LCG393267:LCH393267 LMC393267:LMD393267 LVY393267:LVZ393267 MFU393267:MFV393267 MPQ393267:MPR393267 MZM393267:MZN393267 NJI393267:NJJ393267 NTE393267:NTF393267 ODA393267:ODB393267 OMW393267:OMX393267 OWS393267:OWT393267 PGO393267:PGP393267 PQK393267:PQL393267 QAG393267:QAH393267 QKC393267:QKD393267 QTY393267:QTZ393267 RDU393267:RDV393267 RNQ393267:RNR393267 RXM393267:RXN393267 SHI393267:SHJ393267 SRE393267:SRF393267 TBA393267:TBB393267 TKW393267:TKX393267 TUS393267:TUT393267 UEO393267:UEP393267 UOK393267:UOL393267 UYG393267:UYH393267 VIC393267:VID393267 VRY393267:VRZ393267 WBU393267:WBV393267 WLQ393267:WLR393267 WVM393267:WVN393267 E458803:F458803 JA458803:JB458803 SW458803:SX458803 ACS458803:ACT458803 AMO458803:AMP458803 AWK458803:AWL458803 BGG458803:BGH458803 BQC458803:BQD458803 BZY458803:BZZ458803 CJU458803:CJV458803 CTQ458803:CTR458803 DDM458803:DDN458803 DNI458803:DNJ458803 DXE458803:DXF458803 EHA458803:EHB458803 EQW458803:EQX458803 FAS458803:FAT458803 FKO458803:FKP458803 FUK458803:FUL458803 GEG458803:GEH458803 GOC458803:GOD458803 GXY458803:GXZ458803 HHU458803:HHV458803 HRQ458803:HRR458803 IBM458803:IBN458803 ILI458803:ILJ458803 IVE458803:IVF458803 JFA458803:JFB458803 JOW458803:JOX458803 JYS458803:JYT458803 KIO458803:KIP458803 KSK458803:KSL458803 LCG458803:LCH458803 LMC458803:LMD458803 LVY458803:LVZ458803 MFU458803:MFV458803 MPQ458803:MPR458803 MZM458803:MZN458803 NJI458803:NJJ458803 NTE458803:NTF458803 ODA458803:ODB458803 OMW458803:OMX458803 OWS458803:OWT458803 PGO458803:PGP458803 PQK458803:PQL458803 QAG458803:QAH458803 QKC458803:QKD458803 QTY458803:QTZ458803 RDU458803:RDV458803 RNQ458803:RNR458803 RXM458803:RXN458803 SHI458803:SHJ458803 SRE458803:SRF458803 TBA458803:TBB458803 TKW458803:TKX458803 TUS458803:TUT458803 UEO458803:UEP458803 UOK458803:UOL458803 UYG458803:UYH458803 VIC458803:VID458803 VRY458803:VRZ458803 WBU458803:WBV458803 WLQ458803:WLR458803 WVM458803:WVN458803 E524339:F524339 JA524339:JB524339 SW524339:SX524339 ACS524339:ACT524339 AMO524339:AMP524339 AWK524339:AWL524339 BGG524339:BGH524339 BQC524339:BQD524339 BZY524339:BZZ524339 CJU524339:CJV524339 CTQ524339:CTR524339 DDM524339:DDN524339 DNI524339:DNJ524339 DXE524339:DXF524339 EHA524339:EHB524339 EQW524339:EQX524339 FAS524339:FAT524339 FKO524339:FKP524339 FUK524339:FUL524339 GEG524339:GEH524339 GOC524339:GOD524339 GXY524339:GXZ524339 HHU524339:HHV524339 HRQ524339:HRR524339 IBM524339:IBN524339 ILI524339:ILJ524339 IVE524339:IVF524339 JFA524339:JFB524339 JOW524339:JOX524339 JYS524339:JYT524339 KIO524339:KIP524339 KSK524339:KSL524339 LCG524339:LCH524339 LMC524339:LMD524339 LVY524339:LVZ524339 MFU524339:MFV524339 MPQ524339:MPR524339 MZM524339:MZN524339 NJI524339:NJJ524339 NTE524339:NTF524339 ODA524339:ODB524339 OMW524339:OMX524339 OWS524339:OWT524339 PGO524339:PGP524339 PQK524339:PQL524339 QAG524339:QAH524339 QKC524339:QKD524339 QTY524339:QTZ524339 RDU524339:RDV524339 RNQ524339:RNR524339 RXM524339:RXN524339 SHI524339:SHJ524339 SRE524339:SRF524339 TBA524339:TBB524339 TKW524339:TKX524339 TUS524339:TUT524339 UEO524339:UEP524339 UOK524339:UOL524339 UYG524339:UYH524339 VIC524339:VID524339 VRY524339:VRZ524339 WBU524339:WBV524339 WLQ524339:WLR524339 WVM524339:WVN524339 E589875:F589875 JA589875:JB589875 SW589875:SX589875 ACS589875:ACT589875 AMO589875:AMP589875 AWK589875:AWL589875 BGG589875:BGH589875 BQC589875:BQD589875 BZY589875:BZZ589875 CJU589875:CJV589875 CTQ589875:CTR589875 DDM589875:DDN589875 DNI589875:DNJ589875 DXE589875:DXF589875 EHA589875:EHB589875 EQW589875:EQX589875 FAS589875:FAT589875 FKO589875:FKP589875 FUK589875:FUL589875 GEG589875:GEH589875 GOC589875:GOD589875 GXY589875:GXZ589875 HHU589875:HHV589875 HRQ589875:HRR589875 IBM589875:IBN589875 ILI589875:ILJ589875 IVE589875:IVF589875 JFA589875:JFB589875 JOW589875:JOX589875 JYS589875:JYT589875 KIO589875:KIP589875 KSK589875:KSL589875 LCG589875:LCH589875 LMC589875:LMD589875 LVY589875:LVZ589875 MFU589875:MFV589875 MPQ589875:MPR589875 MZM589875:MZN589875 NJI589875:NJJ589875 NTE589875:NTF589875 ODA589875:ODB589875 OMW589875:OMX589875 OWS589875:OWT589875 PGO589875:PGP589875 PQK589875:PQL589875 QAG589875:QAH589875 QKC589875:QKD589875 QTY589875:QTZ589875 RDU589875:RDV589875 RNQ589875:RNR589875 RXM589875:RXN589875 SHI589875:SHJ589875 SRE589875:SRF589875 TBA589875:TBB589875 TKW589875:TKX589875 TUS589875:TUT589875 UEO589875:UEP589875 UOK589875:UOL589875 UYG589875:UYH589875 VIC589875:VID589875 VRY589875:VRZ589875 WBU589875:WBV589875 WLQ589875:WLR589875 WVM589875:WVN589875 E655411:F655411 JA655411:JB655411 SW655411:SX655411 ACS655411:ACT655411 AMO655411:AMP655411 AWK655411:AWL655411 BGG655411:BGH655411 BQC655411:BQD655411 BZY655411:BZZ655411 CJU655411:CJV655411 CTQ655411:CTR655411 DDM655411:DDN655411 DNI655411:DNJ655411 DXE655411:DXF655411 EHA655411:EHB655411 EQW655411:EQX655411 FAS655411:FAT655411 FKO655411:FKP655411 FUK655411:FUL655411 GEG655411:GEH655411 GOC655411:GOD655411 GXY655411:GXZ655411 HHU655411:HHV655411 HRQ655411:HRR655411 IBM655411:IBN655411 ILI655411:ILJ655411 IVE655411:IVF655411 JFA655411:JFB655411 JOW655411:JOX655411 JYS655411:JYT655411 KIO655411:KIP655411 KSK655411:KSL655411 LCG655411:LCH655411 LMC655411:LMD655411 LVY655411:LVZ655411 MFU655411:MFV655411 MPQ655411:MPR655411 MZM655411:MZN655411 NJI655411:NJJ655411 NTE655411:NTF655411 ODA655411:ODB655411 OMW655411:OMX655411 OWS655411:OWT655411 PGO655411:PGP655411 PQK655411:PQL655411 QAG655411:QAH655411 QKC655411:QKD655411 QTY655411:QTZ655411 RDU655411:RDV655411 RNQ655411:RNR655411 RXM655411:RXN655411 SHI655411:SHJ655411 SRE655411:SRF655411 TBA655411:TBB655411 TKW655411:TKX655411 TUS655411:TUT655411 UEO655411:UEP655411 UOK655411:UOL655411 UYG655411:UYH655411 VIC655411:VID655411 VRY655411:VRZ655411 WBU655411:WBV655411 WLQ655411:WLR655411 WVM655411:WVN655411 E720947:F720947 JA720947:JB720947 SW720947:SX720947 ACS720947:ACT720947 AMO720947:AMP720947 AWK720947:AWL720947 BGG720947:BGH720947 BQC720947:BQD720947 BZY720947:BZZ720947 CJU720947:CJV720947 CTQ720947:CTR720947 DDM720947:DDN720947 DNI720947:DNJ720947 DXE720947:DXF720947 EHA720947:EHB720947 EQW720947:EQX720947 FAS720947:FAT720947 FKO720947:FKP720947 FUK720947:FUL720947 GEG720947:GEH720947 GOC720947:GOD720947 GXY720947:GXZ720947 HHU720947:HHV720947 HRQ720947:HRR720947 IBM720947:IBN720947 ILI720947:ILJ720947 IVE720947:IVF720947 JFA720947:JFB720947 JOW720947:JOX720947 JYS720947:JYT720947 KIO720947:KIP720947 KSK720947:KSL720947 LCG720947:LCH720947 LMC720947:LMD720947 LVY720947:LVZ720947 MFU720947:MFV720947 MPQ720947:MPR720947 MZM720947:MZN720947 NJI720947:NJJ720947 NTE720947:NTF720947 ODA720947:ODB720947 OMW720947:OMX720947 OWS720947:OWT720947 PGO720947:PGP720947 PQK720947:PQL720947 QAG720947:QAH720947 QKC720947:QKD720947 QTY720947:QTZ720947 RDU720947:RDV720947 RNQ720947:RNR720947 RXM720947:RXN720947 SHI720947:SHJ720947 SRE720947:SRF720947 TBA720947:TBB720947 TKW720947:TKX720947 TUS720947:TUT720947 UEO720947:UEP720947 UOK720947:UOL720947 UYG720947:UYH720947 VIC720947:VID720947 VRY720947:VRZ720947 WBU720947:WBV720947 WLQ720947:WLR720947 WVM720947:WVN720947 E786483:F786483 JA786483:JB786483 SW786483:SX786483 ACS786483:ACT786483 AMO786483:AMP786483 AWK786483:AWL786483 BGG786483:BGH786483 BQC786483:BQD786483 BZY786483:BZZ786483 CJU786483:CJV786483 CTQ786483:CTR786483 DDM786483:DDN786483 DNI786483:DNJ786483 DXE786483:DXF786483 EHA786483:EHB786483 EQW786483:EQX786483 FAS786483:FAT786483 FKO786483:FKP786483 FUK786483:FUL786483 GEG786483:GEH786483 GOC786483:GOD786483 GXY786483:GXZ786483 HHU786483:HHV786483 HRQ786483:HRR786483 IBM786483:IBN786483 ILI786483:ILJ786483 IVE786483:IVF786483 JFA786483:JFB786483 JOW786483:JOX786483 JYS786483:JYT786483 KIO786483:KIP786483 KSK786483:KSL786483 LCG786483:LCH786483 LMC786483:LMD786483 LVY786483:LVZ786483 MFU786483:MFV786483 MPQ786483:MPR786483 MZM786483:MZN786483 NJI786483:NJJ786483 NTE786483:NTF786483 ODA786483:ODB786483 OMW786483:OMX786483 OWS786483:OWT786483 PGO786483:PGP786483 PQK786483:PQL786483 QAG786483:QAH786483 QKC786483:QKD786483 QTY786483:QTZ786483 RDU786483:RDV786483 RNQ786483:RNR786483 RXM786483:RXN786483 SHI786483:SHJ786483 SRE786483:SRF786483 TBA786483:TBB786483 TKW786483:TKX786483 TUS786483:TUT786483 UEO786483:UEP786483 UOK786483:UOL786483 UYG786483:UYH786483 VIC786483:VID786483 VRY786483:VRZ786483 WBU786483:WBV786483 WLQ786483:WLR786483 WVM786483:WVN786483 E852019:F852019 JA852019:JB852019 SW852019:SX852019 ACS852019:ACT852019 AMO852019:AMP852019 AWK852019:AWL852019 BGG852019:BGH852019 BQC852019:BQD852019 BZY852019:BZZ852019 CJU852019:CJV852019 CTQ852019:CTR852019 DDM852019:DDN852019 DNI852019:DNJ852019 DXE852019:DXF852019 EHA852019:EHB852019 EQW852019:EQX852019 FAS852019:FAT852019 FKO852019:FKP852019 FUK852019:FUL852019 GEG852019:GEH852019 GOC852019:GOD852019 GXY852019:GXZ852019 HHU852019:HHV852019 HRQ852019:HRR852019 IBM852019:IBN852019 ILI852019:ILJ852019 IVE852019:IVF852019 JFA852019:JFB852019 JOW852019:JOX852019 JYS852019:JYT852019 KIO852019:KIP852019 KSK852019:KSL852019 LCG852019:LCH852019 LMC852019:LMD852019 LVY852019:LVZ852019 MFU852019:MFV852019 MPQ852019:MPR852019 MZM852019:MZN852019 NJI852019:NJJ852019 NTE852019:NTF852019 ODA852019:ODB852019 OMW852019:OMX852019 OWS852019:OWT852019 PGO852019:PGP852019 PQK852019:PQL852019 QAG852019:QAH852019 QKC852019:QKD852019 QTY852019:QTZ852019 RDU852019:RDV852019 RNQ852019:RNR852019 RXM852019:RXN852019 SHI852019:SHJ852019 SRE852019:SRF852019 TBA852019:TBB852019 TKW852019:TKX852019 TUS852019:TUT852019 UEO852019:UEP852019 UOK852019:UOL852019 UYG852019:UYH852019 VIC852019:VID852019 VRY852019:VRZ852019 WBU852019:WBV852019 WLQ852019:WLR852019 WVM852019:WVN852019 E917555:F917555 JA917555:JB917555 SW917555:SX917555 ACS917555:ACT917555 AMO917555:AMP917555 AWK917555:AWL917555 BGG917555:BGH917555 BQC917555:BQD917555 BZY917555:BZZ917555 CJU917555:CJV917555 CTQ917555:CTR917555 DDM917555:DDN917555 DNI917555:DNJ917555 DXE917555:DXF917555 EHA917555:EHB917555 EQW917555:EQX917555 FAS917555:FAT917555 FKO917555:FKP917555 FUK917555:FUL917555 GEG917555:GEH917555 GOC917555:GOD917555 GXY917555:GXZ917555 HHU917555:HHV917555 HRQ917555:HRR917555 IBM917555:IBN917555 ILI917555:ILJ917555 IVE917555:IVF917555 JFA917555:JFB917555 JOW917555:JOX917555 JYS917555:JYT917555 KIO917555:KIP917555 KSK917555:KSL917555 LCG917555:LCH917555 LMC917555:LMD917555 LVY917555:LVZ917555 MFU917555:MFV917555 MPQ917555:MPR917555 MZM917555:MZN917555 NJI917555:NJJ917555 NTE917555:NTF917555 ODA917555:ODB917555 OMW917555:OMX917555 OWS917555:OWT917555 PGO917555:PGP917555 PQK917555:PQL917555 QAG917555:QAH917555 QKC917555:QKD917555 QTY917555:QTZ917555 RDU917555:RDV917555 RNQ917555:RNR917555 RXM917555:RXN917555 SHI917555:SHJ917555 SRE917555:SRF917555 TBA917555:TBB917555 TKW917555:TKX917555 TUS917555:TUT917555 UEO917555:UEP917555 UOK917555:UOL917555 UYG917555:UYH917555 VIC917555:VID917555 VRY917555:VRZ917555 WBU917555:WBV917555 WLQ917555:WLR917555 WVM917555:WVN917555 E983091:F983091 JA983091:JB983091 SW983091:SX983091 ACS983091:ACT983091 AMO983091:AMP983091 AWK983091:AWL983091 BGG983091:BGH983091 BQC983091:BQD983091 BZY983091:BZZ983091 CJU983091:CJV983091 CTQ983091:CTR983091 DDM983091:DDN983091 DNI983091:DNJ983091 DXE983091:DXF983091 EHA983091:EHB983091 EQW983091:EQX983091 FAS983091:FAT983091 FKO983091:FKP983091 FUK983091:FUL983091 GEG983091:GEH983091 GOC983091:GOD983091 GXY983091:GXZ983091 HHU983091:HHV983091 HRQ983091:HRR983091 IBM983091:IBN983091 ILI983091:ILJ983091 IVE983091:IVF983091 JFA983091:JFB983091 JOW983091:JOX983091 JYS983091:JYT983091 KIO983091:KIP983091 KSK983091:KSL983091 LCG983091:LCH983091 LMC983091:LMD983091 LVY983091:LVZ983091 MFU983091:MFV983091 MPQ983091:MPR983091 MZM983091:MZN983091 NJI983091:NJJ983091 NTE983091:NTF983091 ODA983091:ODB983091 OMW983091:OMX983091 OWS983091:OWT983091 PGO983091:PGP983091 PQK983091:PQL983091 QAG983091:QAH983091 QKC983091:QKD983091 QTY983091:QTZ983091 RDU983091:RDV983091 RNQ983091:RNR983091 RXM983091:RXN983091 SHI983091:SHJ983091 SRE983091:SRF983091 TBA983091:TBB983091 TKW983091:TKX983091 TUS983091:TUT983091 UEO983091:UEP983091 UOK983091:UOL983091 UYG983091:UYH983091 VIC983091:VID983091 VRY983091:VRZ983091 WBU983091:WBV983091 WLQ983091:WLR983091 WVM983091:WVN983091" xr:uid="{00000000-0002-0000-0A00-000002000000}">
      <formula1>"Exothermic, Endothermic"</formula1>
    </dataValidation>
  </dataValidations>
  <pageMargins left="0.75" right="0.75" top="1" bottom="3.3" header="0.5" footer="0.5"/>
  <pageSetup scale="32" fitToHeight="3" orientation="landscape" r:id="rId1"/>
  <headerFooter alignWithMargins="0">
    <oddHeader>&amp;LEnergy Use Analysis</oddHeader>
    <oddFooter>&amp;L©E3M Inc.&amp;RFebruary-14-2011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AJ155"/>
  <sheetViews>
    <sheetView topLeftCell="A3" workbookViewId="0">
      <selection activeCell="F9" sqref="F9"/>
    </sheetView>
  </sheetViews>
  <sheetFormatPr baseColWidth="10" defaultColWidth="0" defaultRowHeight="16" zeroHeight="1"/>
  <cols>
    <col min="1" max="1" width="8.6640625" style="433" customWidth="1"/>
    <col min="2" max="2" width="45.1640625" style="173" customWidth="1"/>
    <col min="3" max="3" width="18.1640625" style="173" customWidth="1"/>
    <col min="4" max="4" width="14.83203125" style="173" customWidth="1"/>
    <col min="5" max="5" width="12.6640625" style="173" customWidth="1"/>
    <col min="6" max="6" width="26.6640625" style="433" customWidth="1"/>
    <col min="7" max="8" width="9" hidden="1" customWidth="1"/>
    <col min="9" max="9" width="32.1640625" hidden="1" customWidth="1"/>
    <col min="10" max="13" width="9" hidden="1" customWidth="1"/>
    <col min="14" max="36" width="8" style="685" hidden="1" customWidth="1"/>
    <col min="37" max="16384" width="9" hidden="1"/>
  </cols>
  <sheetData>
    <row r="1" spans="1:36" s="373" customFormat="1">
      <c r="A1" s="433"/>
      <c r="B1" s="433"/>
      <c r="C1" s="433"/>
      <c r="D1" s="433"/>
      <c r="E1" s="433"/>
      <c r="F1" s="433"/>
      <c r="N1" s="685"/>
      <c r="O1" s="685"/>
      <c r="P1" s="685"/>
      <c r="Q1" s="685"/>
      <c r="R1" s="685"/>
      <c r="S1" s="685"/>
      <c r="T1" s="685"/>
      <c r="U1" s="685"/>
      <c r="V1" s="685"/>
      <c r="W1" s="685"/>
      <c r="X1" s="685"/>
      <c r="Y1" s="685"/>
      <c r="Z1" s="685"/>
      <c r="AA1" s="685"/>
      <c r="AB1" s="685"/>
      <c r="AC1" s="685"/>
      <c r="AD1" s="685"/>
      <c r="AE1" s="685"/>
      <c r="AF1" s="685"/>
      <c r="AG1" s="685"/>
      <c r="AH1" s="685"/>
      <c r="AI1" s="685"/>
      <c r="AJ1" s="685"/>
    </row>
    <row r="2" spans="1:36" s="373" customFormat="1">
      <c r="A2" s="433"/>
      <c r="B2" s="433"/>
      <c r="C2" s="433"/>
      <c r="D2" s="433"/>
      <c r="E2" s="433"/>
      <c r="F2" s="433"/>
      <c r="N2" s="685"/>
      <c r="O2" s="685"/>
      <c r="P2" s="685"/>
      <c r="Q2" s="685"/>
      <c r="R2" s="685"/>
      <c r="S2" s="685"/>
      <c r="T2" s="685"/>
      <c r="U2" s="685"/>
      <c r="V2" s="685"/>
      <c r="W2" s="685"/>
      <c r="X2" s="685"/>
      <c r="Y2" s="685"/>
      <c r="Z2" s="685"/>
      <c r="AA2" s="685"/>
      <c r="AB2" s="685"/>
      <c r="AC2" s="685"/>
      <c r="AD2" s="685"/>
      <c r="AE2" s="685"/>
      <c r="AF2" s="685"/>
      <c r="AG2" s="685"/>
      <c r="AH2" s="685"/>
      <c r="AI2" s="685"/>
      <c r="AJ2" s="685"/>
    </row>
    <row r="3" spans="1:36" s="373" customFormat="1" ht="87" thickBot="1">
      <c r="A3" s="433"/>
      <c r="B3" s="433"/>
      <c r="C3" s="433"/>
      <c r="D3" s="433"/>
      <c r="E3" s="433"/>
      <c r="F3" s="433"/>
      <c r="N3" s="650" t="s">
        <v>92</v>
      </c>
      <c r="O3" s="650" t="s">
        <v>93</v>
      </c>
      <c r="P3" s="686" t="s">
        <v>94</v>
      </c>
      <c r="Q3" s="650" t="s">
        <v>95</v>
      </c>
      <c r="R3" s="686" t="s">
        <v>280</v>
      </c>
      <c r="S3" s="686" t="s">
        <v>1510</v>
      </c>
      <c r="T3" s="686" t="s">
        <v>281</v>
      </c>
      <c r="U3" s="686" t="s">
        <v>1511</v>
      </c>
      <c r="V3" s="686" t="s">
        <v>282</v>
      </c>
      <c r="W3" s="686" t="s">
        <v>96</v>
      </c>
      <c r="X3" s="686" t="s">
        <v>283</v>
      </c>
      <c r="Y3" s="686" t="s">
        <v>284</v>
      </c>
      <c r="Z3" s="686" t="s">
        <v>285</v>
      </c>
      <c r="AA3" s="650" t="s">
        <v>97</v>
      </c>
      <c r="AB3" s="685"/>
      <c r="AC3" s="685"/>
      <c r="AD3" s="685"/>
      <c r="AE3" s="685"/>
      <c r="AF3" s="685"/>
      <c r="AG3" s="685"/>
      <c r="AH3" s="685"/>
      <c r="AI3" s="685"/>
      <c r="AJ3" s="685"/>
    </row>
    <row r="4" spans="1:36" s="174" customFormat="1" ht="30" customHeight="1" thickBot="1">
      <c r="A4" s="433"/>
      <c r="B4" s="432" t="s">
        <v>669</v>
      </c>
      <c r="C4" s="594"/>
      <c r="D4" s="595" t="s">
        <v>667</v>
      </c>
      <c r="E4" s="596" t="s">
        <v>668</v>
      </c>
      <c r="F4" s="433"/>
      <c r="N4" s="687"/>
      <c r="O4" s="687"/>
      <c r="P4" s="687"/>
      <c r="Q4" s="687" t="s">
        <v>286</v>
      </c>
      <c r="R4" s="687">
        <f>16.02</f>
        <v>16.02</v>
      </c>
      <c r="S4" s="687">
        <v>4.1870000000000003</v>
      </c>
      <c r="T4" s="687">
        <v>2.3260000000000001</v>
      </c>
      <c r="U4" s="687">
        <f>S4</f>
        <v>4.1870000000000003</v>
      </c>
      <c r="V4" s="687" t="s">
        <v>101</v>
      </c>
      <c r="W4" s="687" t="s">
        <v>101</v>
      </c>
      <c r="X4" s="687">
        <v>2.3260000000000001</v>
      </c>
      <c r="Y4" s="687">
        <f>X4</f>
        <v>2.3260000000000001</v>
      </c>
      <c r="Z4" s="687">
        <f>Y4</f>
        <v>2.3260000000000001</v>
      </c>
      <c r="AA4" s="687"/>
      <c r="AB4" s="688"/>
      <c r="AC4" s="688"/>
      <c r="AD4" s="688"/>
      <c r="AE4" s="688"/>
      <c r="AF4" s="688"/>
      <c r="AG4" s="688"/>
      <c r="AH4" s="688"/>
      <c r="AI4" s="688"/>
      <c r="AJ4" s="688"/>
    </row>
    <row r="5" spans="1:36" s="174" customFormat="1">
      <c r="A5" s="433"/>
      <c r="B5" s="1128" t="s">
        <v>102</v>
      </c>
      <c r="C5" s="1129"/>
      <c r="D5" s="1129"/>
      <c r="E5" s="1130"/>
      <c r="F5" s="433"/>
      <c r="N5" s="687">
        <v>1</v>
      </c>
      <c r="O5" s="687" t="s">
        <v>103</v>
      </c>
      <c r="P5" s="687" t="s">
        <v>102</v>
      </c>
      <c r="Q5" s="687" t="s">
        <v>287</v>
      </c>
      <c r="R5" s="687">
        <f>AB5/$R$4</f>
        <v>166.69975031210987</v>
      </c>
      <c r="S5" s="687">
        <f>AC5/$S$4</f>
        <v>0.24791019823262478</v>
      </c>
      <c r="T5" s="687">
        <f>AD5/$T$4</f>
        <v>169</v>
      </c>
      <c r="U5" s="687">
        <f>AE5/$U$4</f>
        <v>0.26009075710532598</v>
      </c>
      <c r="V5" s="687">
        <f>AF5*1.8 +32</f>
        <v>1214.9960000000001</v>
      </c>
      <c r="W5" s="687">
        <f>AG5*1.8 +32</f>
        <v>1380.002</v>
      </c>
      <c r="X5" s="687">
        <f>AH5/$X$4</f>
        <v>286</v>
      </c>
      <c r="Y5" s="687">
        <f>AI5/$Y$4</f>
        <v>454.99999999999994</v>
      </c>
      <c r="Z5" s="687">
        <f>AJ5/$Z$4</f>
        <v>496.99999999999994</v>
      </c>
      <c r="AA5" s="687" t="b">
        <v>0</v>
      </c>
      <c r="AB5" s="689">
        <v>2670.53</v>
      </c>
      <c r="AC5" s="689">
        <v>1.038</v>
      </c>
      <c r="AD5" s="689">
        <v>393.09399999999999</v>
      </c>
      <c r="AE5" s="689">
        <v>1.089</v>
      </c>
      <c r="AF5" s="689">
        <v>657.22</v>
      </c>
      <c r="AG5" s="689">
        <v>748.89</v>
      </c>
      <c r="AH5" s="689">
        <v>665.23599999999999</v>
      </c>
      <c r="AI5" s="689">
        <v>1058.33</v>
      </c>
      <c r="AJ5" s="689">
        <v>1156.0219999999999</v>
      </c>
    </row>
    <row r="6" spans="1:36" s="174" customFormat="1" ht="47.25" customHeight="1">
      <c r="A6" s="433"/>
      <c r="B6" s="1137" t="s">
        <v>1586</v>
      </c>
      <c r="C6" s="1135"/>
      <c r="D6" s="1131" t="s">
        <v>103</v>
      </c>
      <c r="E6" s="1133" t="s">
        <v>103</v>
      </c>
      <c r="F6" s="433"/>
      <c r="N6" s="687">
        <v>2</v>
      </c>
      <c r="O6" s="687" t="s">
        <v>288</v>
      </c>
      <c r="P6" s="687" t="s">
        <v>102</v>
      </c>
      <c r="Q6" s="687" t="s">
        <v>289</v>
      </c>
      <c r="R6" s="687">
        <f t="shared" ref="R6:R42" si="0">AB6/$R$4</f>
        <v>0</v>
      </c>
      <c r="S6" s="687">
        <f t="shared" ref="S6:S44" si="1">AC6/$S$4</f>
        <v>3.8930021495103891E-2</v>
      </c>
      <c r="T6" s="687">
        <f t="shared" ref="T6:T43" si="2">AD6/$T$4</f>
        <v>26.199914015477216</v>
      </c>
      <c r="U6" s="687">
        <f t="shared" ref="U6:U44" si="3">AE6/$U$4</f>
        <v>3.7974683544303799E-2</v>
      </c>
      <c r="V6" s="687">
        <f t="shared" ref="V6:W44" si="4">AF6*1.8 +32</f>
        <v>462.00200000000001</v>
      </c>
      <c r="W6" s="687">
        <f t="shared" si="4"/>
        <v>624.99199999999996</v>
      </c>
      <c r="X6" s="687">
        <f t="shared" ref="X6:X44" si="5">AH6/$X$4</f>
        <v>15.800085984522784</v>
      </c>
      <c r="Y6" s="687">
        <f t="shared" ref="Y6:Y43" si="6">AI6/$Y$4</f>
        <v>41.999999999999993</v>
      </c>
      <c r="Z6" s="687">
        <f t="shared" ref="Z6:Z44" si="7">AJ6/$Z$4</f>
        <v>48</v>
      </c>
      <c r="AA6" s="687" t="b">
        <v>0</v>
      </c>
      <c r="AB6" s="689">
        <v>0</v>
      </c>
      <c r="AC6" s="689">
        <v>0.16300000000000001</v>
      </c>
      <c r="AD6" s="689">
        <v>60.941000000000003</v>
      </c>
      <c r="AE6" s="689">
        <v>0.159</v>
      </c>
      <c r="AF6" s="689">
        <v>238.89</v>
      </c>
      <c r="AG6" s="689">
        <v>329.44</v>
      </c>
      <c r="AH6" s="689">
        <v>36.750999999999998</v>
      </c>
      <c r="AI6" s="689">
        <v>97.691999999999993</v>
      </c>
      <c r="AJ6" s="689">
        <v>111.648</v>
      </c>
    </row>
    <row r="7" spans="1:36" s="174" customFormat="1" ht="31" customHeight="1">
      <c r="A7" s="433"/>
      <c r="B7" s="1138"/>
      <c r="C7" s="1136"/>
      <c r="D7" s="1132"/>
      <c r="E7" s="1134"/>
      <c r="F7" s="433"/>
      <c r="N7" s="687">
        <v>3</v>
      </c>
      <c r="O7" s="687" t="s">
        <v>290</v>
      </c>
      <c r="P7" s="687" t="s">
        <v>102</v>
      </c>
      <c r="Q7" s="687" t="s">
        <v>291</v>
      </c>
      <c r="R7" s="687">
        <f t="shared" si="0"/>
        <v>462</v>
      </c>
      <c r="S7" s="687">
        <f t="shared" si="1"/>
        <v>7.0933842846907083E-2</v>
      </c>
      <c r="T7" s="687">
        <f t="shared" si="2"/>
        <v>34.100171969045569</v>
      </c>
      <c r="U7" s="687">
        <f t="shared" si="3"/>
        <v>6.3052304752806307E-2</v>
      </c>
      <c r="V7" s="687">
        <f t="shared" si="4"/>
        <v>464</v>
      </c>
      <c r="W7" s="687">
        <f t="shared" si="4"/>
        <v>915.99800000000005</v>
      </c>
      <c r="X7" s="687">
        <f t="shared" si="5"/>
        <v>28.600171969045572</v>
      </c>
      <c r="Y7" s="687">
        <f t="shared" si="6"/>
        <v>67.699914015477205</v>
      </c>
      <c r="Z7" s="687">
        <f t="shared" si="7"/>
        <v>91</v>
      </c>
      <c r="AA7" s="687" t="b">
        <v>0</v>
      </c>
      <c r="AB7" s="689">
        <v>7401.24</v>
      </c>
      <c r="AC7" s="689">
        <v>0.29699999999999999</v>
      </c>
      <c r="AD7" s="689">
        <v>79.316999999999993</v>
      </c>
      <c r="AE7" s="689">
        <v>0.26400000000000001</v>
      </c>
      <c r="AF7" s="689">
        <v>240</v>
      </c>
      <c r="AG7" s="689">
        <v>491.11</v>
      </c>
      <c r="AH7" s="689">
        <v>66.524000000000001</v>
      </c>
      <c r="AI7" s="689">
        <v>157.47</v>
      </c>
      <c r="AJ7" s="689">
        <v>211.666</v>
      </c>
    </row>
    <row r="8" spans="1:36" s="174" customFormat="1" ht="17">
      <c r="A8" s="433"/>
      <c r="B8" s="299" t="s">
        <v>106</v>
      </c>
      <c r="C8" s="300" t="s">
        <v>189</v>
      </c>
      <c r="D8" s="761">
        <f>IF(D$6="Other",K12,VLOOKUP($D$6,$O$5:$AA$100,5,))</f>
        <v>0.24791019823262478</v>
      </c>
      <c r="E8" s="762">
        <f>IF(E$6="Other",L12,VLOOKUP($E$6,$O$5:$AA$100,5,))</f>
        <v>0.24791019823262478</v>
      </c>
      <c r="F8" s="433"/>
      <c r="N8" s="687">
        <v>4</v>
      </c>
      <c r="O8" s="687" t="s">
        <v>292</v>
      </c>
      <c r="P8" s="687" t="s">
        <v>102</v>
      </c>
      <c r="Q8" s="687" t="s">
        <v>293</v>
      </c>
      <c r="R8" s="687">
        <f t="shared" si="0"/>
        <v>612</v>
      </c>
      <c r="S8" s="687">
        <f t="shared" si="1"/>
        <v>3.2959159302603298E-2</v>
      </c>
      <c r="T8" s="687">
        <f t="shared" si="2"/>
        <v>18.5</v>
      </c>
      <c r="U8" s="687">
        <f t="shared" si="3"/>
        <v>3.5108669691903509E-2</v>
      </c>
      <c r="V8" s="687">
        <f t="shared" si="4"/>
        <v>518</v>
      </c>
      <c r="W8" s="687">
        <f t="shared" si="4"/>
        <v>620.00600000000009</v>
      </c>
      <c r="X8" s="687">
        <f t="shared" si="5"/>
        <v>15.10017196904557</v>
      </c>
      <c r="Y8" s="687">
        <f t="shared" si="6"/>
        <v>33.600171969045569</v>
      </c>
      <c r="Z8" s="687">
        <f t="shared" si="7"/>
        <v>37.199914015477212</v>
      </c>
      <c r="AA8" s="687" t="b">
        <v>0</v>
      </c>
      <c r="AB8" s="689">
        <v>9804.24</v>
      </c>
      <c r="AC8" s="689">
        <v>0.13800000000000001</v>
      </c>
      <c r="AD8" s="689">
        <v>43.030999999999999</v>
      </c>
      <c r="AE8" s="689">
        <v>0.14699999999999999</v>
      </c>
      <c r="AF8" s="689">
        <v>270</v>
      </c>
      <c r="AG8" s="689">
        <v>326.67</v>
      </c>
      <c r="AH8" s="689">
        <v>35.122999999999998</v>
      </c>
      <c r="AI8" s="689">
        <v>78.153999999999996</v>
      </c>
      <c r="AJ8" s="689">
        <v>86.527000000000001</v>
      </c>
    </row>
    <row r="9" spans="1:36" s="174" customFormat="1" ht="17">
      <c r="A9" s="433"/>
      <c r="B9" s="299" t="s">
        <v>109</v>
      </c>
      <c r="C9" s="300" t="s">
        <v>110</v>
      </c>
      <c r="D9" s="763">
        <f>IF(D$6="Other",K13,VLOOKUP($D$6,$O$5:$AA$100,6,))</f>
        <v>169</v>
      </c>
      <c r="E9" s="764">
        <f>IF(E$6="Other",L13,VLOOKUP($E$6,$O$5:$AA$100,6,))</f>
        <v>169</v>
      </c>
      <c r="F9" s="433"/>
      <c r="N9" s="687">
        <v>5</v>
      </c>
      <c r="O9" s="687" t="s">
        <v>294</v>
      </c>
      <c r="P9" s="687" t="s">
        <v>102</v>
      </c>
      <c r="Q9" s="687" t="s">
        <v>295</v>
      </c>
      <c r="R9" s="687">
        <f t="shared" si="0"/>
        <v>524</v>
      </c>
      <c r="S9" s="687">
        <f t="shared" si="1"/>
        <v>0.10508717458801051</v>
      </c>
      <c r="T9" s="687">
        <f t="shared" si="2"/>
        <v>69</v>
      </c>
      <c r="U9" s="687">
        <f t="shared" si="3"/>
        <v>0.12491043706711248</v>
      </c>
      <c r="V9" s="687">
        <f t="shared" si="4"/>
        <v>1630.0039999999999</v>
      </c>
      <c r="W9" s="687">
        <f t="shared" si="4"/>
        <v>1850</v>
      </c>
      <c r="X9" s="687">
        <f t="shared" si="5"/>
        <v>165</v>
      </c>
      <c r="Y9" s="687">
        <f t="shared" si="6"/>
        <v>234</v>
      </c>
      <c r="Z9" s="687">
        <f t="shared" si="7"/>
        <v>261</v>
      </c>
      <c r="AA9" s="687" t="b">
        <v>0</v>
      </c>
      <c r="AB9" s="689">
        <v>8394.48</v>
      </c>
      <c r="AC9" s="689">
        <v>0.44</v>
      </c>
      <c r="AD9" s="689">
        <v>160.494</v>
      </c>
      <c r="AE9" s="689">
        <v>0.52300000000000002</v>
      </c>
      <c r="AF9" s="689">
        <v>887.78</v>
      </c>
      <c r="AG9" s="689">
        <v>1010</v>
      </c>
      <c r="AH9" s="689">
        <v>383.79</v>
      </c>
      <c r="AI9" s="689">
        <v>544.28399999999999</v>
      </c>
      <c r="AJ9" s="689">
        <v>607.08600000000001</v>
      </c>
    </row>
    <row r="10" spans="1:36" s="174" customFormat="1" ht="17">
      <c r="A10" s="433"/>
      <c r="B10" s="299" t="s">
        <v>111</v>
      </c>
      <c r="C10" s="300" t="s">
        <v>189</v>
      </c>
      <c r="D10" s="761">
        <f>IF(D$6="Other",K14,VLOOKUP($D$6,$O$5:$AA$100,7,))</f>
        <v>0.26009075710532598</v>
      </c>
      <c r="E10" s="762">
        <f>IF(E$6="Other",L14,VLOOKUP($E$6,$O$5:$AA$100,7,))</f>
        <v>0.26009075710532598</v>
      </c>
      <c r="F10" s="433"/>
      <c r="N10" s="687">
        <v>6</v>
      </c>
      <c r="O10" s="687" t="s">
        <v>296</v>
      </c>
      <c r="P10" s="687" t="s">
        <v>102</v>
      </c>
      <c r="Q10" s="687" t="s">
        <v>297</v>
      </c>
      <c r="R10" s="687">
        <f t="shared" si="0"/>
        <v>546</v>
      </c>
      <c r="S10" s="687">
        <f t="shared" si="1"/>
        <v>0.10389300214951039</v>
      </c>
      <c r="T10" s="687">
        <f t="shared" si="2"/>
        <v>86.5</v>
      </c>
      <c r="U10" s="687">
        <f t="shared" si="3"/>
        <v>0.11511822307141149</v>
      </c>
      <c r="V10" s="687">
        <f t="shared" si="4"/>
        <v>1952.0060000000001</v>
      </c>
      <c r="W10" s="687">
        <f t="shared" si="4"/>
        <v>2249.9960000000001</v>
      </c>
      <c r="X10" s="687">
        <f t="shared" si="5"/>
        <v>196.99999999999997</v>
      </c>
      <c r="Y10" s="687">
        <f t="shared" si="6"/>
        <v>283.5</v>
      </c>
      <c r="Z10" s="687">
        <f t="shared" si="7"/>
        <v>317.80008598452275</v>
      </c>
      <c r="AA10" s="687" t="b">
        <v>0</v>
      </c>
      <c r="AB10" s="689">
        <v>8746.92</v>
      </c>
      <c r="AC10" s="689">
        <v>0.435</v>
      </c>
      <c r="AD10" s="689">
        <v>201.19900000000001</v>
      </c>
      <c r="AE10" s="689">
        <v>0.48199999999999998</v>
      </c>
      <c r="AF10" s="689">
        <v>1066.67</v>
      </c>
      <c r="AG10" s="689">
        <v>1232.22</v>
      </c>
      <c r="AH10" s="689">
        <v>458.22199999999998</v>
      </c>
      <c r="AI10" s="689">
        <v>659.42100000000005</v>
      </c>
      <c r="AJ10" s="689">
        <v>739.20299999999997</v>
      </c>
    </row>
    <row r="11" spans="1:36" s="174" customFormat="1" ht="17">
      <c r="A11" s="433"/>
      <c r="B11" s="700" t="s">
        <v>112</v>
      </c>
      <c r="C11" s="701" t="s">
        <v>12</v>
      </c>
      <c r="D11" s="765">
        <f>IF($D$6="Other",K15,VLOOKUP($D$6,$O$5:$AA$100,8,))</f>
        <v>1214.9960000000001</v>
      </c>
      <c r="E11" s="766">
        <f>IF($E$6="Other",L15,VLOOKUP($E$6,$O$5:$AA$100,8,))</f>
        <v>1214.9960000000001</v>
      </c>
      <c r="F11" s="433"/>
      <c r="N11" s="687">
        <v>7</v>
      </c>
      <c r="O11" s="687" t="s">
        <v>298</v>
      </c>
      <c r="P11" s="687" t="s">
        <v>102</v>
      </c>
      <c r="Q11" s="687" t="s">
        <v>299</v>
      </c>
      <c r="R11" s="687">
        <f t="shared" si="0"/>
        <v>528</v>
      </c>
      <c r="S11" s="687">
        <f t="shared" si="1"/>
        <v>0.10508717458801051</v>
      </c>
      <c r="T11" s="687">
        <f t="shared" si="2"/>
        <v>70.999999999999986</v>
      </c>
      <c r="U11" s="687">
        <f t="shared" si="3"/>
        <v>0.1229997611655123</v>
      </c>
      <c r="V11" s="687">
        <f t="shared" si="4"/>
        <v>1688</v>
      </c>
      <c r="W11" s="687">
        <f t="shared" si="4"/>
        <v>1950.008</v>
      </c>
      <c r="X11" s="687">
        <f t="shared" si="5"/>
        <v>171</v>
      </c>
      <c r="Y11" s="687">
        <f t="shared" si="6"/>
        <v>242.00000000000003</v>
      </c>
      <c r="Z11" s="687">
        <f t="shared" si="7"/>
        <v>274.19991401547719</v>
      </c>
      <c r="AA11" s="687" t="b">
        <v>0</v>
      </c>
      <c r="AB11" s="689">
        <v>8458.56</v>
      </c>
      <c r="AC11" s="689">
        <v>0.44</v>
      </c>
      <c r="AD11" s="689">
        <v>165.14599999999999</v>
      </c>
      <c r="AE11" s="689">
        <v>0.51500000000000001</v>
      </c>
      <c r="AF11" s="689">
        <v>920</v>
      </c>
      <c r="AG11" s="689">
        <v>1065.56</v>
      </c>
      <c r="AH11" s="689">
        <v>397.74599999999998</v>
      </c>
      <c r="AI11" s="689">
        <v>562.89200000000005</v>
      </c>
      <c r="AJ11" s="689">
        <v>637.78899999999999</v>
      </c>
    </row>
    <row r="12" spans="1:36" s="652" customFormat="1">
      <c r="A12" s="651"/>
      <c r="B12" s="1125"/>
      <c r="C12" s="1126"/>
      <c r="D12" s="1126"/>
      <c r="E12" s="1127"/>
      <c r="F12" s="651"/>
      <c r="N12" s="687">
        <v>8</v>
      </c>
      <c r="O12" s="687" t="s">
        <v>300</v>
      </c>
      <c r="P12" s="687" t="s">
        <v>102</v>
      </c>
      <c r="Q12" s="687" t="s">
        <v>301</v>
      </c>
      <c r="R12" s="687">
        <f t="shared" si="0"/>
        <v>556.00000000000011</v>
      </c>
      <c r="S12" s="687">
        <f t="shared" si="1"/>
        <v>9.5056126104609506E-2</v>
      </c>
      <c r="T12" s="687">
        <f t="shared" si="2"/>
        <v>79.899828030954424</v>
      </c>
      <c r="U12" s="687">
        <f t="shared" si="3"/>
        <v>0.10890852639121089</v>
      </c>
      <c r="V12" s="687">
        <f t="shared" si="4"/>
        <v>1832</v>
      </c>
      <c r="W12" s="687">
        <f t="shared" si="4"/>
        <v>2049.9979999999996</v>
      </c>
      <c r="X12" s="687">
        <f t="shared" si="5"/>
        <v>168.30008598452278</v>
      </c>
      <c r="Y12" s="687">
        <f t="shared" si="6"/>
        <v>248.19991401547719</v>
      </c>
      <c r="Z12" s="687">
        <f t="shared" si="7"/>
        <v>272</v>
      </c>
      <c r="AA12" s="687" t="b">
        <v>0</v>
      </c>
      <c r="AB12" s="689">
        <v>8907.1200000000008</v>
      </c>
      <c r="AC12" s="689">
        <v>0.39800000000000002</v>
      </c>
      <c r="AD12" s="689">
        <v>185.84700000000001</v>
      </c>
      <c r="AE12" s="689">
        <v>0.45600000000000002</v>
      </c>
      <c r="AF12" s="689">
        <v>1000</v>
      </c>
      <c r="AG12" s="689">
        <v>1121.1099999999999</v>
      </c>
      <c r="AH12" s="689">
        <v>391.46600000000001</v>
      </c>
      <c r="AI12" s="689">
        <v>577.31299999999999</v>
      </c>
      <c r="AJ12" s="689">
        <v>632.67200000000003</v>
      </c>
    </row>
    <row r="13" spans="1:36" s="174" customFormat="1" ht="15.75" customHeight="1">
      <c r="A13" s="433"/>
      <c r="B13" s="592" t="s">
        <v>1588</v>
      </c>
      <c r="C13" s="593" t="s">
        <v>697</v>
      </c>
      <c r="D13" s="759"/>
      <c r="E13" s="760"/>
      <c r="F13" s="1124" t="str">
        <f>IF(D13=E13,"","Note: Please make sure the proposed production can be supported by upstream and downstream processes")</f>
        <v/>
      </c>
      <c r="N13" s="687">
        <v>9</v>
      </c>
      <c r="O13" s="687" t="s">
        <v>302</v>
      </c>
      <c r="P13" s="687" t="s">
        <v>102</v>
      </c>
      <c r="Q13" s="687" t="s">
        <v>303</v>
      </c>
      <c r="R13" s="687">
        <f t="shared" si="0"/>
        <v>510</v>
      </c>
      <c r="S13" s="687">
        <f t="shared" si="1"/>
        <v>0.12610460950561261</v>
      </c>
      <c r="T13" s="687">
        <f t="shared" si="2"/>
        <v>98.600171969045562</v>
      </c>
      <c r="U13" s="687">
        <f t="shared" si="3"/>
        <v>0.12491043706711248</v>
      </c>
      <c r="V13" s="687">
        <f t="shared" si="4"/>
        <v>1922</v>
      </c>
      <c r="W13" s="687">
        <f t="shared" si="4"/>
        <v>2199.9920000000002</v>
      </c>
      <c r="X13" s="687">
        <f t="shared" si="5"/>
        <v>235</v>
      </c>
      <c r="Y13" s="687">
        <f t="shared" si="6"/>
        <v>333.60017196904556</v>
      </c>
      <c r="Z13" s="687">
        <f t="shared" si="7"/>
        <v>368</v>
      </c>
      <c r="AA13" s="687" t="b">
        <v>0</v>
      </c>
      <c r="AB13" s="689">
        <v>8170.2</v>
      </c>
      <c r="AC13" s="689">
        <v>0.52800000000000002</v>
      </c>
      <c r="AD13" s="689">
        <v>229.34399999999999</v>
      </c>
      <c r="AE13" s="689">
        <v>0.52300000000000002</v>
      </c>
      <c r="AF13" s="689">
        <v>1050</v>
      </c>
      <c r="AG13" s="689">
        <v>1204.44</v>
      </c>
      <c r="AH13" s="689">
        <v>546.61</v>
      </c>
      <c r="AI13" s="689">
        <v>775.95399999999995</v>
      </c>
      <c r="AJ13" s="689">
        <v>855.96799999999996</v>
      </c>
    </row>
    <row r="14" spans="1:36" s="174" customFormat="1" ht="17">
      <c r="A14" s="433"/>
      <c r="B14" s="299" t="s">
        <v>113</v>
      </c>
      <c r="C14" s="300"/>
      <c r="D14" s="769">
        <f>IF(C13="tons/hr.",D13*2000,IF(C13="lbs./hr.",D13,IF(C13="kg./hr.",D13*2.2046)))</f>
        <v>0</v>
      </c>
      <c r="E14" s="770">
        <f>IF(C13="tons/hr.",E13*2000,IF(C13="lbs./hr.",E13,IF(C13="kg./hr.",E13*2.2046)))</f>
        <v>0</v>
      </c>
      <c r="F14" s="1124"/>
      <c r="G14" s="174" t="s">
        <v>36</v>
      </c>
      <c r="N14" s="687">
        <v>10</v>
      </c>
      <c r="O14" s="687" t="s">
        <v>304</v>
      </c>
      <c r="P14" s="687" t="s">
        <v>102</v>
      </c>
      <c r="Q14" s="687" t="s">
        <v>305</v>
      </c>
      <c r="R14" s="687">
        <f t="shared" si="0"/>
        <v>540</v>
      </c>
      <c r="S14" s="687">
        <f t="shared" si="1"/>
        <v>0.10007165034630999</v>
      </c>
      <c r="T14" s="687">
        <f t="shared" si="2"/>
        <v>76.300085984522781</v>
      </c>
      <c r="U14" s="687">
        <f t="shared" si="3"/>
        <v>0.11893957487461189</v>
      </c>
      <c r="V14" s="687">
        <f t="shared" si="4"/>
        <v>1634</v>
      </c>
      <c r="W14" s="687">
        <f t="shared" si="4"/>
        <v>1900.0039999999999</v>
      </c>
      <c r="X14" s="687">
        <f t="shared" si="5"/>
        <v>157.39982803095444</v>
      </c>
      <c r="Y14" s="687">
        <f t="shared" si="6"/>
        <v>233.69991401547722</v>
      </c>
      <c r="Z14" s="687">
        <f t="shared" si="7"/>
        <v>265.39982803095444</v>
      </c>
      <c r="AA14" s="687" t="b">
        <v>0</v>
      </c>
      <c r="AB14" s="689">
        <v>8650.7999999999993</v>
      </c>
      <c r="AC14" s="689">
        <v>0.41899999999999998</v>
      </c>
      <c r="AD14" s="689">
        <v>177.47399999999999</v>
      </c>
      <c r="AE14" s="689">
        <v>0.498</v>
      </c>
      <c r="AF14" s="689">
        <v>890</v>
      </c>
      <c r="AG14" s="689">
        <v>1037.78</v>
      </c>
      <c r="AH14" s="689">
        <v>366.11200000000002</v>
      </c>
      <c r="AI14" s="689">
        <v>543.58600000000001</v>
      </c>
      <c r="AJ14" s="689">
        <v>617.32000000000005</v>
      </c>
    </row>
    <row r="15" spans="1:36" s="174" customFormat="1" ht="34">
      <c r="A15" s="433"/>
      <c r="B15" s="299" t="s">
        <v>202</v>
      </c>
      <c r="C15" s="300" t="s">
        <v>7</v>
      </c>
      <c r="D15" s="749"/>
      <c r="E15" s="750"/>
      <c r="F15" s="1124"/>
      <c r="I15" s="174" t="s">
        <v>36</v>
      </c>
      <c r="N15" s="687">
        <v>11</v>
      </c>
      <c r="O15" s="687" t="s">
        <v>306</v>
      </c>
      <c r="P15" s="687" t="s">
        <v>102</v>
      </c>
      <c r="Q15" s="687" t="s">
        <v>307</v>
      </c>
      <c r="R15" s="687">
        <f t="shared" si="0"/>
        <v>550</v>
      </c>
      <c r="S15" s="687">
        <f t="shared" si="1"/>
        <v>0.10699785048961069</v>
      </c>
      <c r="T15" s="687">
        <f t="shared" si="2"/>
        <v>84.199914015477205</v>
      </c>
      <c r="U15" s="687">
        <f t="shared" si="3"/>
        <v>0.1060425125388106</v>
      </c>
      <c r="V15" s="687">
        <f t="shared" si="4"/>
        <v>1850</v>
      </c>
      <c r="W15" s="687">
        <f t="shared" si="4"/>
        <v>2100.0020000000004</v>
      </c>
      <c r="X15" s="687">
        <f t="shared" si="5"/>
        <v>191.49999999999997</v>
      </c>
      <c r="Y15" s="687">
        <f t="shared" si="6"/>
        <v>275.69991401547719</v>
      </c>
      <c r="Z15" s="687">
        <f t="shared" si="7"/>
        <v>302</v>
      </c>
      <c r="AA15" s="687" t="b">
        <v>0</v>
      </c>
      <c r="AB15" s="689">
        <v>8811</v>
      </c>
      <c r="AC15" s="689">
        <v>0.44800000000000001</v>
      </c>
      <c r="AD15" s="689">
        <v>195.84899999999999</v>
      </c>
      <c r="AE15" s="689">
        <v>0.44400000000000001</v>
      </c>
      <c r="AF15" s="689">
        <v>1010</v>
      </c>
      <c r="AG15" s="689">
        <v>1148.8900000000001</v>
      </c>
      <c r="AH15" s="689">
        <v>445.42899999999997</v>
      </c>
      <c r="AI15" s="689">
        <v>641.27800000000002</v>
      </c>
      <c r="AJ15" s="689">
        <v>702.452</v>
      </c>
    </row>
    <row r="16" spans="1:36" s="174" customFormat="1" ht="17">
      <c r="A16" s="433"/>
      <c r="B16" s="299" t="s">
        <v>115</v>
      </c>
      <c r="C16" s="300" t="s">
        <v>7</v>
      </c>
      <c r="D16" s="751"/>
      <c r="E16" s="750"/>
      <c r="F16" s="433"/>
      <c r="N16" s="687">
        <v>12</v>
      </c>
      <c r="O16" s="687" t="s">
        <v>308</v>
      </c>
      <c r="P16" s="687" t="s">
        <v>102</v>
      </c>
      <c r="Q16" s="687" t="s">
        <v>309</v>
      </c>
      <c r="R16" s="687">
        <f t="shared" si="0"/>
        <v>525</v>
      </c>
      <c r="S16" s="687">
        <f t="shared" si="1"/>
        <v>0.10699785048961069</v>
      </c>
      <c r="T16" s="687">
        <f t="shared" si="2"/>
        <v>73.5</v>
      </c>
      <c r="U16" s="687">
        <f t="shared" si="3"/>
        <v>0.12395509911631239</v>
      </c>
      <c r="V16" s="687">
        <f t="shared" si="4"/>
        <v>1625</v>
      </c>
      <c r="W16" s="687">
        <f t="shared" si="4"/>
        <v>1850</v>
      </c>
      <c r="X16" s="687">
        <f t="shared" si="5"/>
        <v>167.5</v>
      </c>
      <c r="Y16" s="687">
        <f t="shared" si="6"/>
        <v>241</v>
      </c>
      <c r="Z16" s="687">
        <f t="shared" si="7"/>
        <v>268.89982803095444</v>
      </c>
      <c r="AA16" s="687" t="b">
        <v>0</v>
      </c>
      <c r="AB16" s="689">
        <v>8410.5</v>
      </c>
      <c r="AC16" s="689">
        <v>0.44800000000000001</v>
      </c>
      <c r="AD16" s="689">
        <v>170.96100000000001</v>
      </c>
      <c r="AE16" s="689">
        <v>0.51900000000000002</v>
      </c>
      <c r="AF16" s="689">
        <v>885</v>
      </c>
      <c r="AG16" s="689">
        <v>1010</v>
      </c>
      <c r="AH16" s="689">
        <v>389.60500000000002</v>
      </c>
      <c r="AI16" s="689">
        <v>560.56600000000003</v>
      </c>
      <c r="AJ16" s="689">
        <v>625.46100000000001</v>
      </c>
    </row>
    <row r="17" spans="1:36" s="174" customFormat="1" ht="17">
      <c r="A17" s="433"/>
      <c r="B17" s="299" t="s">
        <v>116</v>
      </c>
      <c r="C17" s="300" t="s">
        <v>12</v>
      </c>
      <c r="D17" s="752">
        <f>'Calculator '!D12</f>
        <v>0</v>
      </c>
      <c r="E17" s="753">
        <f>'Calculator '!E12</f>
        <v>0</v>
      </c>
      <c r="F17" s="433"/>
      <c r="N17" s="687">
        <v>13</v>
      </c>
      <c r="O17" s="687" t="s">
        <v>310</v>
      </c>
      <c r="P17" s="687" t="s">
        <v>102</v>
      </c>
      <c r="Q17" s="687" t="s">
        <v>311</v>
      </c>
      <c r="R17" s="687">
        <v>138</v>
      </c>
      <c r="S17" s="687">
        <v>0.16</v>
      </c>
      <c r="T17" s="687">
        <f t="shared" si="2"/>
        <v>60</v>
      </c>
      <c r="U17" s="687">
        <f t="shared" si="3"/>
        <v>0.17497014568903749</v>
      </c>
      <c r="V17" s="687">
        <f t="shared" si="4"/>
        <v>2800.0039999999999</v>
      </c>
      <c r="W17" s="687">
        <f t="shared" si="4"/>
        <v>-4.0000000000048885E-3</v>
      </c>
      <c r="X17" s="687">
        <f t="shared" si="5"/>
        <v>0</v>
      </c>
      <c r="Y17" s="687">
        <f t="shared" si="6"/>
        <v>0</v>
      </c>
      <c r="Z17" s="687">
        <f t="shared" si="7"/>
        <v>0</v>
      </c>
      <c r="AA17" s="687" t="b">
        <v>0</v>
      </c>
      <c r="AB17" s="689">
        <v>7689.6</v>
      </c>
      <c r="AC17" s="689">
        <v>0.628</v>
      </c>
      <c r="AD17" s="689">
        <v>139.56</v>
      </c>
      <c r="AE17" s="689">
        <v>0.73260000000000003</v>
      </c>
      <c r="AF17" s="689">
        <v>1537.78</v>
      </c>
      <c r="AG17" s="689">
        <v>-17.78</v>
      </c>
      <c r="AH17" s="689">
        <v>0</v>
      </c>
      <c r="AI17" s="689">
        <v>0</v>
      </c>
      <c r="AJ17" s="689">
        <v>0</v>
      </c>
    </row>
    <row r="18" spans="1:36" s="174" customFormat="1" ht="17">
      <c r="A18" s="433"/>
      <c r="B18" s="299" t="s">
        <v>117</v>
      </c>
      <c r="C18" s="300" t="s">
        <v>12</v>
      </c>
      <c r="D18" s="754">
        <f>'Calculator '!D13</f>
        <v>0</v>
      </c>
      <c r="E18" s="771">
        <f>'Calculator '!E13</f>
        <v>0</v>
      </c>
      <c r="F18" s="433"/>
      <c r="N18" s="687">
        <v>14</v>
      </c>
      <c r="O18" s="687" t="s">
        <v>312</v>
      </c>
      <c r="P18" s="687" t="s">
        <v>102</v>
      </c>
      <c r="Q18" s="687" t="s">
        <v>313</v>
      </c>
      <c r="R18" s="687">
        <f t="shared" si="0"/>
        <v>559</v>
      </c>
      <c r="S18" s="687">
        <f t="shared" si="1"/>
        <v>0.10389300214951039</v>
      </c>
      <c r="T18" s="687">
        <f t="shared" si="2"/>
        <v>91</v>
      </c>
      <c r="U18" s="687">
        <f t="shared" si="3"/>
        <v>0.1110580367805111</v>
      </c>
      <c r="V18" s="687">
        <f t="shared" si="4"/>
        <v>1981.9939999999999</v>
      </c>
      <c r="W18" s="687">
        <f t="shared" si="4"/>
        <v>2199.9920000000002</v>
      </c>
      <c r="X18" s="687">
        <f t="shared" si="5"/>
        <v>200</v>
      </c>
      <c r="Y18" s="687">
        <f t="shared" si="6"/>
        <v>291</v>
      </c>
      <c r="Z18" s="687">
        <f t="shared" si="7"/>
        <v>315</v>
      </c>
      <c r="AA18" s="687" t="b">
        <v>0</v>
      </c>
      <c r="AB18" s="689">
        <v>8955.18</v>
      </c>
      <c r="AC18" s="689">
        <v>0.435</v>
      </c>
      <c r="AD18" s="689">
        <v>211.666</v>
      </c>
      <c r="AE18" s="689">
        <v>0.46500000000000002</v>
      </c>
      <c r="AF18" s="689">
        <v>1083.33</v>
      </c>
      <c r="AG18" s="689">
        <v>1204.44</v>
      </c>
      <c r="AH18" s="689">
        <v>465.2</v>
      </c>
      <c r="AI18" s="689">
        <v>676.86599999999999</v>
      </c>
      <c r="AJ18" s="689">
        <v>732.69</v>
      </c>
    </row>
    <row r="19" spans="1:36" s="174" customFormat="1" ht="17">
      <c r="A19" s="433"/>
      <c r="B19" s="299" t="s">
        <v>119</v>
      </c>
      <c r="C19" s="300" t="s">
        <v>12</v>
      </c>
      <c r="D19" s="755"/>
      <c r="E19" s="756"/>
      <c r="F19" s="433"/>
      <c r="N19" s="687">
        <v>15</v>
      </c>
      <c r="O19" s="687" t="s">
        <v>314</v>
      </c>
      <c r="P19" s="687" t="s">
        <v>102</v>
      </c>
      <c r="Q19" s="687" t="s">
        <v>315</v>
      </c>
      <c r="R19" s="687">
        <f t="shared" si="0"/>
        <v>176</v>
      </c>
      <c r="S19" s="687">
        <f t="shared" si="1"/>
        <v>0.23596847384762357</v>
      </c>
      <c r="T19" s="687">
        <f t="shared" si="2"/>
        <v>162.99999999999997</v>
      </c>
      <c r="U19" s="687">
        <f t="shared" si="3"/>
        <v>0.24098399808932405</v>
      </c>
      <c r="V19" s="687">
        <f t="shared" si="4"/>
        <v>1149.998</v>
      </c>
      <c r="W19" s="687">
        <f t="shared" si="4"/>
        <v>1400</v>
      </c>
      <c r="X19" s="687">
        <f t="shared" si="5"/>
        <v>257.30008598452281</v>
      </c>
      <c r="Y19" s="687">
        <f t="shared" si="6"/>
        <v>420.30008598452281</v>
      </c>
      <c r="Z19" s="687">
        <f t="shared" si="7"/>
        <v>481</v>
      </c>
      <c r="AA19" s="687" t="b">
        <v>0</v>
      </c>
      <c r="AB19" s="689">
        <v>2819.52</v>
      </c>
      <c r="AC19" s="689">
        <v>0.98799999999999999</v>
      </c>
      <c r="AD19" s="689">
        <v>379.13799999999998</v>
      </c>
      <c r="AE19" s="689">
        <v>1.0089999999999999</v>
      </c>
      <c r="AF19" s="689">
        <v>621.11</v>
      </c>
      <c r="AG19" s="689">
        <v>760</v>
      </c>
      <c r="AH19" s="689">
        <v>598.48</v>
      </c>
      <c r="AI19" s="689">
        <v>977.61800000000005</v>
      </c>
      <c r="AJ19" s="689">
        <v>1118.806</v>
      </c>
    </row>
    <row r="20" spans="1:36" s="174" customFormat="1" ht="17">
      <c r="A20" s="433"/>
      <c r="B20" s="299" t="s">
        <v>120</v>
      </c>
      <c r="C20" s="300" t="s">
        <v>7</v>
      </c>
      <c r="D20" s="749"/>
      <c r="E20" s="750"/>
      <c r="F20" s="433"/>
      <c r="N20" s="687">
        <v>16</v>
      </c>
      <c r="O20" s="687" t="s">
        <v>314</v>
      </c>
      <c r="P20" s="687" t="s">
        <v>102</v>
      </c>
      <c r="Q20" s="687" t="s">
        <v>316</v>
      </c>
      <c r="R20" s="687">
        <f t="shared" si="0"/>
        <v>176</v>
      </c>
      <c r="S20" s="687">
        <f t="shared" si="1"/>
        <v>3.7974683544303799E-2</v>
      </c>
      <c r="T20" s="687">
        <f t="shared" si="2"/>
        <v>17.5</v>
      </c>
      <c r="U20" s="687">
        <f t="shared" si="3"/>
        <v>3.70193455935037E-2</v>
      </c>
      <c r="V20" s="687">
        <f t="shared" si="4"/>
        <v>600.00800000000004</v>
      </c>
      <c r="W20" s="687">
        <f t="shared" si="4"/>
        <v>820.00400000000002</v>
      </c>
      <c r="X20" s="687">
        <f t="shared" si="5"/>
        <v>20.5</v>
      </c>
      <c r="Y20" s="687">
        <f t="shared" si="6"/>
        <v>38</v>
      </c>
      <c r="Z20" s="687">
        <f t="shared" si="7"/>
        <v>146</v>
      </c>
      <c r="AA20" s="687" t="b">
        <v>0</v>
      </c>
      <c r="AB20" s="689">
        <v>2819.52</v>
      </c>
      <c r="AC20" s="689">
        <v>0.159</v>
      </c>
      <c r="AD20" s="689">
        <v>40.704999999999998</v>
      </c>
      <c r="AE20" s="689">
        <v>0.155</v>
      </c>
      <c r="AF20" s="689">
        <v>315.56</v>
      </c>
      <c r="AG20" s="689">
        <v>437.78</v>
      </c>
      <c r="AH20" s="689">
        <v>47.683</v>
      </c>
      <c r="AI20" s="689">
        <v>88.388000000000005</v>
      </c>
      <c r="AJ20" s="689">
        <v>339.596</v>
      </c>
    </row>
    <row r="21" spans="1:36" s="174" customFormat="1" ht="17">
      <c r="A21" s="433"/>
      <c r="B21" s="299" t="s">
        <v>121</v>
      </c>
      <c r="C21" s="300" t="s">
        <v>7</v>
      </c>
      <c r="D21" s="749"/>
      <c r="E21" s="750"/>
      <c r="F21" s="433"/>
      <c r="N21" s="687">
        <v>17</v>
      </c>
      <c r="O21" s="687" t="s">
        <v>314</v>
      </c>
      <c r="P21" s="687" t="s">
        <v>102</v>
      </c>
      <c r="Q21" s="687" t="s">
        <v>317</v>
      </c>
      <c r="R21" s="687">
        <f t="shared" si="0"/>
        <v>176</v>
      </c>
      <c r="S21" s="687">
        <f t="shared" si="1"/>
        <v>6.9978504896106991E-2</v>
      </c>
      <c r="T21" s="687">
        <f t="shared" si="2"/>
        <v>30.199914015477216</v>
      </c>
      <c r="U21" s="687">
        <f t="shared" si="3"/>
        <v>6.2096966802006208E-2</v>
      </c>
      <c r="V21" s="687">
        <f t="shared" si="4"/>
        <v>449.99599999999998</v>
      </c>
      <c r="W21" s="687">
        <f t="shared" si="4"/>
        <v>649.99400000000003</v>
      </c>
      <c r="X21" s="687">
        <f t="shared" si="5"/>
        <v>27.600171969045569</v>
      </c>
      <c r="Y21" s="687">
        <f t="shared" si="6"/>
        <v>57.800085984522788</v>
      </c>
      <c r="Z21" s="687">
        <f t="shared" si="7"/>
        <v>70</v>
      </c>
      <c r="AA21" s="687" t="b">
        <v>0</v>
      </c>
      <c r="AB21" s="689">
        <v>2819.52</v>
      </c>
      <c r="AC21" s="689">
        <v>0.29299999999999998</v>
      </c>
      <c r="AD21" s="689">
        <v>70.245000000000005</v>
      </c>
      <c r="AE21" s="689">
        <v>0.26</v>
      </c>
      <c r="AF21" s="689">
        <v>232.22</v>
      </c>
      <c r="AG21" s="689">
        <v>343.33</v>
      </c>
      <c r="AH21" s="689">
        <v>64.197999999999993</v>
      </c>
      <c r="AI21" s="689">
        <v>134.44300000000001</v>
      </c>
      <c r="AJ21" s="689">
        <v>162.82</v>
      </c>
    </row>
    <row r="22" spans="1:36" s="174" customFormat="1" ht="17">
      <c r="A22" s="433"/>
      <c r="B22" s="299" t="s">
        <v>122</v>
      </c>
      <c r="C22" s="300" t="s">
        <v>110</v>
      </c>
      <c r="D22" s="755"/>
      <c r="E22" s="756"/>
      <c r="F22" s="433"/>
      <c r="N22" s="687">
        <v>18</v>
      </c>
      <c r="O22" s="687" t="s">
        <v>314</v>
      </c>
      <c r="P22" s="687" t="s">
        <v>102</v>
      </c>
      <c r="Q22" s="687" t="s">
        <v>318</v>
      </c>
      <c r="R22" s="687">
        <f t="shared" si="0"/>
        <v>176</v>
      </c>
      <c r="S22" s="687">
        <f t="shared" si="1"/>
        <v>0.10293766419871028</v>
      </c>
      <c r="T22" s="687">
        <f t="shared" si="2"/>
        <v>48</v>
      </c>
      <c r="U22" s="687">
        <f t="shared" si="3"/>
        <v>0.1380463338906138</v>
      </c>
      <c r="V22" s="687">
        <f t="shared" si="4"/>
        <v>780.00800000000004</v>
      </c>
      <c r="W22" s="687">
        <f t="shared" si="4"/>
        <v>980.00599999999997</v>
      </c>
      <c r="X22" s="687">
        <f t="shared" si="5"/>
        <v>74</v>
      </c>
      <c r="Y22" s="687">
        <f t="shared" si="6"/>
        <v>121.99999999999999</v>
      </c>
      <c r="Z22" s="687">
        <f t="shared" si="7"/>
        <v>150</v>
      </c>
      <c r="AA22" s="687" t="b">
        <v>0</v>
      </c>
      <c r="AB22" s="689">
        <v>2819.52</v>
      </c>
      <c r="AC22" s="689">
        <v>0.43099999999999999</v>
      </c>
      <c r="AD22" s="689">
        <v>111.648</v>
      </c>
      <c r="AE22" s="689">
        <v>0.57799999999999996</v>
      </c>
      <c r="AF22" s="689">
        <v>415.56</v>
      </c>
      <c r="AG22" s="689">
        <v>526.66999999999996</v>
      </c>
      <c r="AH22" s="689">
        <v>172.124</v>
      </c>
      <c r="AI22" s="689">
        <v>283.77199999999999</v>
      </c>
      <c r="AJ22" s="689">
        <v>348.9</v>
      </c>
    </row>
    <row r="23" spans="1:36" s="174" customFormat="1" ht="17">
      <c r="A23" s="433"/>
      <c r="B23" s="299" t="s">
        <v>124</v>
      </c>
      <c r="C23" s="300"/>
      <c r="D23" s="812" t="str">
        <f>E23</f>
        <v>Exothermic</v>
      </c>
      <c r="E23" s="813" t="s">
        <v>125</v>
      </c>
      <c r="F23" s="433"/>
      <c r="N23" s="687">
        <v>19</v>
      </c>
      <c r="O23" s="687" t="s">
        <v>319</v>
      </c>
      <c r="P23" s="687" t="s">
        <v>102</v>
      </c>
      <c r="Q23" s="687" t="s">
        <v>320</v>
      </c>
      <c r="R23" s="687">
        <v>540</v>
      </c>
      <c r="S23" s="687">
        <f t="shared" si="1"/>
        <v>0.10890852639121089</v>
      </c>
      <c r="T23" s="687">
        <f t="shared" si="2"/>
        <v>86.199914015477219</v>
      </c>
      <c r="U23" s="687">
        <f t="shared" si="3"/>
        <v>0.1229997611655123</v>
      </c>
      <c r="V23" s="687">
        <f t="shared" si="4"/>
        <v>1850</v>
      </c>
      <c r="W23" s="687">
        <f t="shared" si="4"/>
        <v>2100.0020000000004</v>
      </c>
      <c r="X23" s="687">
        <f t="shared" si="5"/>
        <v>194</v>
      </c>
      <c r="Y23" s="687">
        <f t="shared" si="6"/>
        <v>280.19991401547719</v>
      </c>
      <c r="Z23" s="687">
        <f t="shared" si="7"/>
        <v>311</v>
      </c>
      <c r="AA23" s="687" t="b">
        <v>0</v>
      </c>
      <c r="AB23" s="689">
        <v>2819.52</v>
      </c>
      <c r="AC23" s="689">
        <v>0.45600000000000002</v>
      </c>
      <c r="AD23" s="689">
        <v>200.501</v>
      </c>
      <c r="AE23" s="689">
        <v>0.51500000000000001</v>
      </c>
      <c r="AF23" s="689">
        <v>1010</v>
      </c>
      <c r="AG23" s="689">
        <v>1148.8900000000001</v>
      </c>
      <c r="AH23" s="689">
        <v>451.24400000000003</v>
      </c>
      <c r="AI23" s="689">
        <v>651.745</v>
      </c>
      <c r="AJ23" s="689">
        <v>723.38599999999997</v>
      </c>
    </row>
    <row r="24" spans="1:36" s="174" customFormat="1" ht="17">
      <c r="A24" s="433"/>
      <c r="B24" s="299" t="s">
        <v>126</v>
      </c>
      <c r="C24" s="300" t="s">
        <v>190</v>
      </c>
      <c r="D24" s="755"/>
      <c r="E24" s="756"/>
      <c r="F24" s="433"/>
      <c r="N24" s="687">
        <v>20</v>
      </c>
      <c r="O24" s="687" t="s">
        <v>321</v>
      </c>
      <c r="P24" s="687" t="s">
        <v>102</v>
      </c>
      <c r="Q24" s="687" t="s">
        <v>322</v>
      </c>
      <c r="R24" s="687">
        <f t="shared" si="0"/>
        <v>1205</v>
      </c>
      <c r="S24" s="687">
        <f t="shared" si="1"/>
        <v>3.2959159302603298E-2</v>
      </c>
      <c r="T24" s="687">
        <f t="shared" si="2"/>
        <v>28.499999999999996</v>
      </c>
      <c r="U24" s="687">
        <f t="shared" si="3"/>
        <v>3.3914497253403383E-2</v>
      </c>
      <c r="V24" s="687">
        <f t="shared" si="4"/>
        <v>1945.0039999999999</v>
      </c>
      <c r="W24" s="687">
        <f t="shared" si="4"/>
        <v>2150.0060000000003</v>
      </c>
      <c r="X24" s="687">
        <f t="shared" si="5"/>
        <v>62.199914015477212</v>
      </c>
      <c r="Y24" s="687">
        <f t="shared" si="6"/>
        <v>90.699914015477205</v>
      </c>
      <c r="Z24" s="687">
        <f t="shared" si="7"/>
        <v>97.699914015477205</v>
      </c>
      <c r="AA24" s="687" t="b">
        <v>0</v>
      </c>
      <c r="AB24" s="689">
        <v>19304.099999999999</v>
      </c>
      <c r="AC24" s="689">
        <v>0.13800000000000001</v>
      </c>
      <c r="AD24" s="689">
        <v>66.290999999999997</v>
      </c>
      <c r="AE24" s="689">
        <v>0.14199999999999999</v>
      </c>
      <c r="AF24" s="689">
        <v>1062.78</v>
      </c>
      <c r="AG24" s="689">
        <v>1176.67</v>
      </c>
      <c r="AH24" s="689">
        <v>144.67699999999999</v>
      </c>
      <c r="AI24" s="689">
        <v>210.96799999999999</v>
      </c>
      <c r="AJ24" s="689">
        <v>227.25</v>
      </c>
    </row>
    <row r="25" spans="1:36" s="174" customFormat="1" ht="17">
      <c r="A25" s="433"/>
      <c r="B25" s="301" t="s">
        <v>128</v>
      </c>
      <c r="C25" s="302" t="str">
        <f>C24</f>
        <v xml:space="preserve">Btu/hr. </v>
      </c>
      <c r="D25" s="757">
        <f>D24+D62</f>
        <v>0</v>
      </c>
      <c r="E25" s="758">
        <f>E24+E62</f>
        <v>0</v>
      </c>
      <c r="F25" s="433"/>
      <c r="N25" s="687">
        <v>21</v>
      </c>
      <c r="O25" s="687" t="s">
        <v>323</v>
      </c>
      <c r="P25" s="687" t="s">
        <v>102</v>
      </c>
      <c r="Q25" s="687" t="s">
        <v>324</v>
      </c>
      <c r="R25" s="687">
        <f t="shared" si="0"/>
        <v>480.00000000000006</v>
      </c>
      <c r="S25" s="687">
        <f t="shared" si="1"/>
        <v>0.13995700979221398</v>
      </c>
      <c r="T25" s="687">
        <f t="shared" si="2"/>
        <v>0</v>
      </c>
      <c r="U25" s="687">
        <f t="shared" si="3"/>
        <v>0</v>
      </c>
      <c r="V25" s="687">
        <f t="shared" si="4"/>
        <v>2499.998</v>
      </c>
      <c r="W25" s="687">
        <f t="shared" si="4"/>
        <v>-4.0000000000048885E-3</v>
      </c>
      <c r="X25" s="687">
        <f t="shared" si="5"/>
        <v>0</v>
      </c>
      <c r="Y25" s="687">
        <f t="shared" si="6"/>
        <v>0</v>
      </c>
      <c r="Z25" s="687">
        <f t="shared" si="7"/>
        <v>0</v>
      </c>
      <c r="AA25" s="687" t="b">
        <v>0</v>
      </c>
      <c r="AB25" s="689">
        <v>7689.6</v>
      </c>
      <c r="AC25" s="689">
        <v>0.58599999999999997</v>
      </c>
      <c r="AD25" s="689">
        <v>0</v>
      </c>
      <c r="AE25" s="689">
        <v>0</v>
      </c>
      <c r="AF25" s="689">
        <v>1371.11</v>
      </c>
      <c r="AG25" s="689">
        <v>-17.78</v>
      </c>
      <c r="AH25" s="689">
        <v>0</v>
      </c>
      <c r="AI25" s="689">
        <v>0</v>
      </c>
      <c r="AJ25" s="689">
        <v>0</v>
      </c>
    </row>
    <row r="26" spans="1:36" s="174" customFormat="1" ht="17">
      <c r="A26" s="433"/>
      <c r="B26" s="299" t="s">
        <v>240</v>
      </c>
      <c r="C26" s="300" t="s">
        <v>241</v>
      </c>
      <c r="D26" s="757">
        <f>IFERROR(2000*D25/D14,0)</f>
        <v>0</v>
      </c>
      <c r="E26" s="758">
        <f>IFERROR(2000*E25/E14,0)</f>
        <v>0</v>
      </c>
      <c r="F26" s="433"/>
      <c r="N26" s="687">
        <v>22</v>
      </c>
      <c r="O26" s="687" t="s">
        <v>325</v>
      </c>
      <c r="P26" s="687" t="s">
        <v>102</v>
      </c>
      <c r="Q26" s="687" t="s">
        <v>326</v>
      </c>
      <c r="R26" s="687">
        <f t="shared" si="0"/>
        <v>480.00000000000006</v>
      </c>
      <c r="S26" s="687">
        <f t="shared" si="1"/>
        <v>0.19011225220921901</v>
      </c>
      <c r="T26" s="687">
        <f t="shared" si="2"/>
        <v>41.399828030954431</v>
      </c>
      <c r="U26" s="687">
        <f t="shared" si="3"/>
        <v>0</v>
      </c>
      <c r="V26" s="687">
        <f t="shared" si="4"/>
        <v>2246</v>
      </c>
      <c r="W26" s="687">
        <f t="shared" si="4"/>
        <v>2800.0039999999999</v>
      </c>
      <c r="X26" s="687">
        <f t="shared" si="5"/>
        <v>415</v>
      </c>
      <c r="Y26" s="687">
        <f t="shared" si="6"/>
        <v>455.99999999999994</v>
      </c>
      <c r="Z26" s="687">
        <f t="shared" si="7"/>
        <v>583</v>
      </c>
      <c r="AA26" s="687" t="b">
        <v>0</v>
      </c>
      <c r="AB26" s="689">
        <v>7689.6</v>
      </c>
      <c r="AC26" s="689">
        <v>0.79600000000000004</v>
      </c>
      <c r="AD26" s="689">
        <v>96.296000000000006</v>
      </c>
      <c r="AE26" s="689">
        <v>0</v>
      </c>
      <c r="AF26" s="689">
        <v>1230</v>
      </c>
      <c r="AG26" s="689">
        <v>1537.78</v>
      </c>
      <c r="AH26" s="689">
        <v>965.29</v>
      </c>
      <c r="AI26" s="689">
        <v>1060.6559999999999</v>
      </c>
      <c r="AJ26" s="689">
        <v>1356.058</v>
      </c>
    </row>
    <row r="27" spans="1:36" s="174" customFormat="1" ht="18" thickBot="1">
      <c r="A27" s="433"/>
      <c r="B27" s="303"/>
      <c r="C27" s="304" t="s">
        <v>233</v>
      </c>
      <c r="D27" s="767">
        <f>D26/2000</f>
        <v>0</v>
      </c>
      <c r="E27" s="768">
        <f>E26/2000</f>
        <v>0</v>
      </c>
      <c r="F27" s="433"/>
      <c r="N27" s="687">
        <v>23</v>
      </c>
      <c r="O27" s="687" t="s">
        <v>327</v>
      </c>
      <c r="P27" s="687" t="s">
        <v>102</v>
      </c>
      <c r="Q27" s="687" t="s">
        <v>328</v>
      </c>
      <c r="R27" s="687">
        <f t="shared" si="0"/>
        <v>480.00000000000006</v>
      </c>
      <c r="S27" s="687">
        <f t="shared" si="1"/>
        <v>0.18008120372581798</v>
      </c>
      <c r="T27" s="687">
        <f t="shared" si="2"/>
        <v>60.300085984522788</v>
      </c>
      <c r="U27" s="687">
        <f t="shared" si="3"/>
        <v>0</v>
      </c>
      <c r="V27" s="687">
        <f t="shared" si="4"/>
        <v>2102</v>
      </c>
      <c r="W27" s="687">
        <f t="shared" si="4"/>
        <v>2899.9940000000001</v>
      </c>
      <c r="X27" s="687">
        <f t="shared" si="5"/>
        <v>368</v>
      </c>
      <c r="Y27" s="687">
        <f t="shared" si="6"/>
        <v>428</v>
      </c>
      <c r="Z27" s="687">
        <f t="shared" si="7"/>
        <v>612</v>
      </c>
      <c r="AA27" s="687" t="b">
        <v>0</v>
      </c>
      <c r="AB27" s="689">
        <v>7689.6</v>
      </c>
      <c r="AC27" s="689">
        <v>0.754</v>
      </c>
      <c r="AD27" s="689">
        <v>140.25800000000001</v>
      </c>
      <c r="AE27" s="689">
        <v>0</v>
      </c>
      <c r="AF27" s="689">
        <v>1150</v>
      </c>
      <c r="AG27" s="689">
        <v>1593.33</v>
      </c>
      <c r="AH27" s="689">
        <v>855.96799999999996</v>
      </c>
      <c r="AI27" s="689">
        <v>995.52800000000002</v>
      </c>
      <c r="AJ27" s="689">
        <v>1423.5119999999999</v>
      </c>
    </row>
    <row r="28" spans="1:36" s="433" customFormat="1">
      <c r="B28" s="388"/>
      <c r="C28" s="388"/>
      <c r="D28" s="448"/>
      <c r="E28" s="448"/>
      <c r="N28" s="687">
        <v>24</v>
      </c>
      <c r="O28" s="687" t="s">
        <v>329</v>
      </c>
      <c r="P28" s="687" t="s">
        <v>102</v>
      </c>
      <c r="Q28" s="687" t="s">
        <v>330</v>
      </c>
      <c r="R28" s="687">
        <f t="shared" si="0"/>
        <v>480.00000000000006</v>
      </c>
      <c r="S28" s="687">
        <f t="shared" si="1"/>
        <v>0.15309290661571531</v>
      </c>
      <c r="T28" s="687">
        <f t="shared" si="2"/>
        <v>83.600171969045576</v>
      </c>
      <c r="U28" s="687">
        <f t="shared" si="3"/>
        <v>0</v>
      </c>
      <c r="V28" s="687">
        <f t="shared" si="4"/>
        <v>2012</v>
      </c>
      <c r="W28" s="687">
        <f t="shared" si="4"/>
        <v>2300</v>
      </c>
      <c r="X28" s="687">
        <f t="shared" si="5"/>
        <v>299</v>
      </c>
      <c r="Y28" s="687">
        <f t="shared" si="6"/>
        <v>384</v>
      </c>
      <c r="Z28" s="687">
        <f t="shared" si="7"/>
        <v>450</v>
      </c>
      <c r="AA28" s="687" t="b">
        <v>0</v>
      </c>
      <c r="AB28" s="689">
        <v>7689.6</v>
      </c>
      <c r="AC28" s="689">
        <v>0.64100000000000001</v>
      </c>
      <c r="AD28" s="689">
        <v>194.45400000000001</v>
      </c>
      <c r="AE28" s="689">
        <v>0</v>
      </c>
      <c r="AF28" s="689">
        <v>1100</v>
      </c>
      <c r="AG28" s="689">
        <v>1260</v>
      </c>
      <c r="AH28" s="689">
        <v>695.47400000000005</v>
      </c>
      <c r="AI28" s="689">
        <v>893.18399999999997</v>
      </c>
      <c r="AJ28" s="689">
        <v>1046.7</v>
      </c>
    </row>
    <row r="29" spans="1:36" s="433" customFormat="1">
      <c r="B29" s="388"/>
      <c r="C29" s="388"/>
      <c r="D29" s="448"/>
      <c r="E29" s="448"/>
      <c r="N29" s="687">
        <v>25</v>
      </c>
      <c r="O29" s="687" t="s">
        <v>331</v>
      </c>
      <c r="P29" s="687" t="s">
        <v>102</v>
      </c>
      <c r="Q29" s="687" t="s">
        <v>332</v>
      </c>
      <c r="R29" s="687">
        <f t="shared" si="0"/>
        <v>491</v>
      </c>
      <c r="S29" s="687">
        <f t="shared" si="1"/>
        <v>0.16790064485311676</v>
      </c>
      <c r="T29" s="687">
        <f t="shared" si="2"/>
        <v>117</v>
      </c>
      <c r="U29" s="687">
        <f t="shared" si="3"/>
        <v>0.14998805827561498</v>
      </c>
      <c r="V29" s="687">
        <f t="shared" si="4"/>
        <v>2802.0020000000004</v>
      </c>
      <c r="W29" s="687">
        <f t="shared" si="4"/>
        <v>3099.9920000000002</v>
      </c>
      <c r="X29" s="687">
        <f t="shared" si="5"/>
        <v>451</v>
      </c>
      <c r="Y29" s="687">
        <f t="shared" si="6"/>
        <v>567.99999999999989</v>
      </c>
      <c r="Z29" s="687">
        <f t="shared" si="7"/>
        <v>626</v>
      </c>
      <c r="AA29" s="687" t="b">
        <v>0</v>
      </c>
      <c r="AB29" s="690">
        <v>7865.82</v>
      </c>
      <c r="AC29" s="690">
        <v>0.70299999999999996</v>
      </c>
      <c r="AD29" s="690">
        <v>272.142</v>
      </c>
      <c r="AE29" s="690">
        <v>0.628</v>
      </c>
      <c r="AF29" s="690">
        <v>1538.89</v>
      </c>
      <c r="AG29" s="690">
        <v>1704.44</v>
      </c>
      <c r="AH29" s="690">
        <v>1049.0260000000001</v>
      </c>
      <c r="AI29" s="690">
        <v>1321.1679999999999</v>
      </c>
      <c r="AJ29" s="690">
        <v>1456.076</v>
      </c>
    </row>
    <row r="30" spans="1:36" s="174" customFormat="1" ht="34.5" hidden="1" customHeight="1">
      <c r="A30" s="433"/>
      <c r="B30" s="156" t="s">
        <v>246</v>
      </c>
      <c r="C30" s="156"/>
      <c r="D30" s="305"/>
      <c r="E30" s="156"/>
      <c r="F30" s="433"/>
      <c r="N30" s="687">
        <v>26</v>
      </c>
      <c r="O30" s="687" t="s">
        <v>333</v>
      </c>
      <c r="P30" s="687" t="s">
        <v>102</v>
      </c>
      <c r="Q30" s="687" t="s">
        <v>334</v>
      </c>
      <c r="R30" s="687">
        <f t="shared" si="0"/>
        <v>708</v>
      </c>
      <c r="S30" s="687">
        <f t="shared" si="1"/>
        <v>3.2003821351803199E-2</v>
      </c>
      <c r="T30" s="687">
        <f t="shared" si="2"/>
        <v>10</v>
      </c>
      <c r="U30" s="687">
        <f t="shared" si="3"/>
        <v>3.3914497253403383E-2</v>
      </c>
      <c r="V30" s="687">
        <f t="shared" si="4"/>
        <v>620.99600000000009</v>
      </c>
      <c r="W30" s="687">
        <f t="shared" si="4"/>
        <v>719.99600000000009</v>
      </c>
      <c r="X30" s="687">
        <f t="shared" si="5"/>
        <v>18</v>
      </c>
      <c r="Y30" s="687">
        <f t="shared" si="6"/>
        <v>28</v>
      </c>
      <c r="Z30" s="687">
        <f t="shared" si="7"/>
        <v>30.999999999999996</v>
      </c>
      <c r="AA30" s="687" t="b">
        <v>0</v>
      </c>
      <c r="AB30" s="690">
        <v>11342.16</v>
      </c>
      <c r="AC30" s="690">
        <v>0.13400000000000001</v>
      </c>
      <c r="AD30" s="690">
        <v>23.26</v>
      </c>
      <c r="AE30" s="690">
        <v>0.14199999999999999</v>
      </c>
      <c r="AF30" s="690">
        <v>327.22000000000003</v>
      </c>
      <c r="AG30" s="690">
        <v>382.22</v>
      </c>
      <c r="AH30" s="690">
        <v>41.868000000000002</v>
      </c>
      <c r="AI30" s="690">
        <v>65.128</v>
      </c>
      <c r="AJ30" s="690">
        <v>72.105999999999995</v>
      </c>
    </row>
    <row r="31" spans="1:36" s="174" customFormat="1" ht="34.5" hidden="1" customHeight="1">
      <c r="A31" s="433"/>
      <c r="B31" s="156" t="s">
        <v>242</v>
      </c>
      <c r="C31" s="156" t="s">
        <v>7</v>
      </c>
      <c r="D31" s="306">
        <v>0.23</v>
      </c>
      <c r="E31" s="156"/>
      <c r="F31" s="433"/>
      <c r="N31" s="687">
        <v>27</v>
      </c>
      <c r="O31" s="687" t="s">
        <v>335</v>
      </c>
      <c r="P31" s="687" t="s">
        <v>102</v>
      </c>
      <c r="Q31" s="687" t="s">
        <v>336</v>
      </c>
      <c r="R31" s="687">
        <f t="shared" si="0"/>
        <v>700</v>
      </c>
      <c r="S31" s="687">
        <f t="shared" si="1"/>
        <v>3.6064007642703601E-2</v>
      </c>
      <c r="T31" s="687">
        <f t="shared" si="2"/>
        <v>21.5</v>
      </c>
      <c r="U31" s="687">
        <f t="shared" si="3"/>
        <v>3.6064007642703601E-2</v>
      </c>
      <c r="V31" s="687">
        <f t="shared" si="4"/>
        <v>485.99599999999998</v>
      </c>
      <c r="W31" s="687">
        <f t="shared" si="4"/>
        <v>620.00600000000009</v>
      </c>
      <c r="X31" s="687">
        <f t="shared" si="5"/>
        <v>15.300085984522786</v>
      </c>
      <c r="Y31" s="687">
        <f t="shared" si="6"/>
        <v>36.800085984522781</v>
      </c>
      <c r="Z31" s="687">
        <f t="shared" si="7"/>
        <v>41.600171969045569</v>
      </c>
      <c r="AA31" s="687" t="b">
        <v>0</v>
      </c>
      <c r="AB31" s="690">
        <v>11214</v>
      </c>
      <c r="AC31" s="690">
        <v>0.151</v>
      </c>
      <c r="AD31" s="690">
        <v>50.009</v>
      </c>
      <c r="AE31" s="690">
        <v>0.151</v>
      </c>
      <c r="AF31" s="690">
        <v>252.22</v>
      </c>
      <c r="AG31" s="690">
        <v>326.67</v>
      </c>
      <c r="AH31" s="690">
        <v>35.588000000000001</v>
      </c>
      <c r="AI31" s="690">
        <v>85.596999999999994</v>
      </c>
      <c r="AJ31" s="690">
        <v>96.762</v>
      </c>
    </row>
    <row r="32" spans="1:36" s="174" customFormat="1" ht="38.25" hidden="1" customHeight="1">
      <c r="A32" s="433"/>
      <c r="B32" s="156" t="s">
        <v>243</v>
      </c>
      <c r="C32" s="156" t="s">
        <v>633</v>
      </c>
      <c r="D32" s="307">
        <f>(D25/D31)/10^6</f>
        <v>0</v>
      </c>
      <c r="E32" s="156"/>
      <c r="F32" s="433"/>
      <c r="N32" s="687">
        <v>28</v>
      </c>
      <c r="O32" s="687" t="s">
        <v>337</v>
      </c>
      <c r="P32" s="687" t="s">
        <v>102</v>
      </c>
      <c r="Q32" s="687" t="s">
        <v>338</v>
      </c>
      <c r="R32" s="687">
        <f t="shared" si="0"/>
        <v>108.59987515605494</v>
      </c>
      <c r="S32" s="687">
        <f t="shared" si="1"/>
        <v>0.27203248149032722</v>
      </c>
      <c r="T32" s="687">
        <f t="shared" si="2"/>
        <v>83.699914015477219</v>
      </c>
      <c r="U32" s="687">
        <f t="shared" si="3"/>
        <v>0.26606161929782662</v>
      </c>
      <c r="V32" s="687">
        <f t="shared" si="4"/>
        <v>1203.998</v>
      </c>
      <c r="W32" s="687">
        <f t="shared" si="4"/>
        <v>1380.002</v>
      </c>
      <c r="X32" s="687">
        <f t="shared" si="5"/>
        <v>311.19991401547719</v>
      </c>
      <c r="Y32" s="687">
        <f t="shared" si="6"/>
        <v>394.89982803095444</v>
      </c>
      <c r="Z32" s="687">
        <f t="shared" si="7"/>
        <v>441.69991401547719</v>
      </c>
      <c r="AA32" s="687" t="b">
        <v>0</v>
      </c>
      <c r="AB32" s="690">
        <v>1739.77</v>
      </c>
      <c r="AC32" s="690">
        <v>1.139</v>
      </c>
      <c r="AD32" s="690">
        <v>194.68600000000001</v>
      </c>
      <c r="AE32" s="690">
        <v>1.1140000000000001</v>
      </c>
      <c r="AF32" s="690">
        <v>651.11</v>
      </c>
      <c r="AG32" s="690">
        <v>748.89</v>
      </c>
      <c r="AH32" s="690">
        <v>723.851</v>
      </c>
      <c r="AI32" s="690">
        <v>918.53700000000003</v>
      </c>
      <c r="AJ32" s="690">
        <v>1027.394</v>
      </c>
    </row>
    <row r="33" spans="1:36" s="174" customFormat="1" hidden="1">
      <c r="A33" s="433"/>
      <c r="B33" s="156"/>
      <c r="C33" s="156"/>
      <c r="D33" s="307"/>
      <c r="E33" s="156"/>
      <c r="F33" s="433"/>
      <c r="N33" s="687">
        <v>29</v>
      </c>
      <c r="O33" s="687" t="s">
        <v>339</v>
      </c>
      <c r="P33" s="687" t="s">
        <v>102</v>
      </c>
      <c r="Q33" s="687" t="s">
        <v>340</v>
      </c>
      <c r="R33" s="687">
        <f t="shared" si="0"/>
        <v>464</v>
      </c>
      <c r="S33" s="687">
        <f t="shared" si="1"/>
        <v>0.17100549319321709</v>
      </c>
      <c r="T33" s="687">
        <f t="shared" si="2"/>
        <v>66</v>
      </c>
      <c r="U33" s="687">
        <f t="shared" si="3"/>
        <v>0.1920229281108192</v>
      </c>
      <c r="V33" s="687">
        <f t="shared" si="4"/>
        <v>2246</v>
      </c>
      <c r="W33" s="687">
        <f t="shared" si="4"/>
        <v>2400.0079999999998</v>
      </c>
      <c r="X33" s="687">
        <f t="shared" si="5"/>
        <v>374</v>
      </c>
      <c r="Y33" s="687">
        <f t="shared" si="6"/>
        <v>440</v>
      </c>
      <c r="Z33" s="687">
        <f t="shared" si="7"/>
        <v>469</v>
      </c>
      <c r="AA33" s="687" t="b">
        <v>0</v>
      </c>
      <c r="AB33" s="690">
        <v>7433.28</v>
      </c>
      <c r="AC33" s="690">
        <v>0.71599999999999997</v>
      </c>
      <c r="AD33" s="690">
        <v>153.51599999999999</v>
      </c>
      <c r="AE33" s="690">
        <v>0.80400000000000005</v>
      </c>
      <c r="AF33" s="690">
        <v>1230</v>
      </c>
      <c r="AG33" s="690">
        <v>1315.56</v>
      </c>
      <c r="AH33" s="690">
        <v>869.92399999999998</v>
      </c>
      <c r="AI33" s="690">
        <v>1023.44</v>
      </c>
      <c r="AJ33" s="690">
        <v>1090.894</v>
      </c>
    </row>
    <row r="34" spans="1:36" s="174" customFormat="1" hidden="1">
      <c r="A34" s="433"/>
      <c r="B34" s="156"/>
      <c r="C34" s="156"/>
      <c r="D34" s="307"/>
      <c r="E34" s="156"/>
      <c r="F34" s="433"/>
      <c r="N34" s="687">
        <v>30</v>
      </c>
      <c r="O34" s="687" t="s">
        <v>341</v>
      </c>
      <c r="P34" s="687" t="s">
        <v>102</v>
      </c>
      <c r="Q34" s="687" t="s">
        <v>342</v>
      </c>
      <c r="R34" s="687">
        <f t="shared" si="0"/>
        <v>550</v>
      </c>
      <c r="S34" s="687">
        <f t="shared" si="1"/>
        <v>0.1289706233580129</v>
      </c>
      <c r="T34" s="687">
        <f t="shared" si="2"/>
        <v>117.39982803095442</v>
      </c>
      <c r="U34" s="687">
        <f t="shared" si="3"/>
        <v>0.13900167184141388</v>
      </c>
      <c r="V34" s="687">
        <f t="shared" si="4"/>
        <v>2415.0020000000004</v>
      </c>
      <c r="W34" s="687">
        <f t="shared" si="4"/>
        <v>2750</v>
      </c>
      <c r="X34" s="687">
        <f t="shared" si="5"/>
        <v>304</v>
      </c>
      <c r="Y34" s="687">
        <f t="shared" si="6"/>
        <v>421.39982803095444</v>
      </c>
      <c r="Z34" s="687">
        <f t="shared" si="7"/>
        <v>468</v>
      </c>
      <c r="AA34" s="687" t="b">
        <v>0</v>
      </c>
      <c r="AB34" s="690">
        <v>8811</v>
      </c>
      <c r="AC34" s="690">
        <v>0.54</v>
      </c>
      <c r="AD34" s="690">
        <v>273.072</v>
      </c>
      <c r="AE34" s="690">
        <v>0.58199999999999996</v>
      </c>
      <c r="AF34" s="690">
        <v>1323.89</v>
      </c>
      <c r="AG34" s="690">
        <v>1510</v>
      </c>
      <c r="AH34" s="690">
        <v>707.10400000000004</v>
      </c>
      <c r="AI34" s="690">
        <v>980.17600000000004</v>
      </c>
      <c r="AJ34" s="690">
        <v>1088.568</v>
      </c>
    </row>
    <row r="35" spans="1:36" s="174" customFormat="1" hidden="1">
      <c r="A35" s="433"/>
      <c r="B35" s="156"/>
      <c r="C35" s="156"/>
      <c r="D35" s="307"/>
      <c r="E35" s="156"/>
      <c r="F35" s="433"/>
      <c r="N35" s="687">
        <v>31</v>
      </c>
      <c r="O35" s="687" t="s">
        <v>343</v>
      </c>
      <c r="P35" s="687" t="s">
        <v>102</v>
      </c>
      <c r="Q35" s="687" t="s">
        <v>344</v>
      </c>
      <c r="R35" s="687">
        <f t="shared" si="0"/>
        <v>556.00000000000011</v>
      </c>
      <c r="S35" s="687">
        <f t="shared" si="1"/>
        <v>0.13398614759971339</v>
      </c>
      <c r="T35" s="687">
        <f t="shared" si="2"/>
        <v>131.5</v>
      </c>
      <c r="U35" s="687">
        <f t="shared" si="3"/>
        <v>0.13303080964891331</v>
      </c>
      <c r="V35" s="687">
        <f t="shared" si="4"/>
        <v>2643.998</v>
      </c>
      <c r="W35" s="687">
        <f t="shared" si="4"/>
        <v>2850.0079999999998</v>
      </c>
      <c r="X35" s="687">
        <f t="shared" si="5"/>
        <v>346</v>
      </c>
      <c r="Y35" s="687">
        <f t="shared" si="6"/>
        <v>477.49999999999994</v>
      </c>
      <c r="Z35" s="687">
        <f t="shared" si="7"/>
        <v>505.00000000000006</v>
      </c>
      <c r="AA35" s="687" t="b">
        <v>0</v>
      </c>
      <c r="AB35" s="690">
        <v>8907.1200000000008</v>
      </c>
      <c r="AC35" s="690">
        <v>0.56100000000000005</v>
      </c>
      <c r="AD35" s="690">
        <v>305.86900000000003</v>
      </c>
      <c r="AE35" s="690">
        <v>0.55700000000000005</v>
      </c>
      <c r="AF35" s="690">
        <v>1451.11</v>
      </c>
      <c r="AG35" s="690">
        <v>1565.56</v>
      </c>
      <c r="AH35" s="690">
        <v>804.79600000000005</v>
      </c>
      <c r="AI35" s="690">
        <v>1110.665</v>
      </c>
      <c r="AJ35" s="690">
        <v>1174.6300000000001</v>
      </c>
    </row>
    <row r="36" spans="1:36" s="174" customFormat="1" ht="17" hidden="1" thickBot="1">
      <c r="A36" s="433"/>
      <c r="B36" s="156"/>
      <c r="C36" s="156"/>
      <c r="D36" s="307"/>
      <c r="E36" s="156"/>
      <c r="F36" s="433"/>
      <c r="N36" s="687">
        <v>32</v>
      </c>
      <c r="O36" s="687" t="s">
        <v>345</v>
      </c>
      <c r="P36" s="687" t="s">
        <v>102</v>
      </c>
      <c r="Q36" s="687" t="s">
        <v>346</v>
      </c>
      <c r="R36" s="687">
        <f t="shared" si="0"/>
        <v>655</v>
      </c>
      <c r="S36" s="687">
        <f t="shared" si="1"/>
        <v>6.3052304752806307E-2</v>
      </c>
      <c r="T36" s="687">
        <f t="shared" si="2"/>
        <v>46.800085984522781</v>
      </c>
      <c r="U36" s="687">
        <f t="shared" si="3"/>
        <v>6.9978504896106991E-2</v>
      </c>
      <c r="V36" s="687">
        <f t="shared" si="4"/>
        <v>1761.998</v>
      </c>
      <c r="W36" s="687">
        <f t="shared" si="4"/>
        <v>1950.008</v>
      </c>
      <c r="X36" s="687">
        <f t="shared" si="5"/>
        <v>107</v>
      </c>
      <c r="Y36" s="687">
        <f t="shared" si="6"/>
        <v>153.80008598452278</v>
      </c>
      <c r="Z36" s="687">
        <f t="shared" si="7"/>
        <v>167</v>
      </c>
      <c r="AA36" s="687" t="b">
        <v>0</v>
      </c>
      <c r="AB36" s="690">
        <v>10493.1</v>
      </c>
      <c r="AC36" s="690">
        <v>0.26400000000000001</v>
      </c>
      <c r="AD36" s="690">
        <v>108.857</v>
      </c>
      <c r="AE36" s="690">
        <v>0.29299999999999998</v>
      </c>
      <c r="AF36" s="690">
        <v>961.11</v>
      </c>
      <c r="AG36" s="690">
        <v>1065.56</v>
      </c>
      <c r="AH36" s="690">
        <v>248.88200000000001</v>
      </c>
      <c r="AI36" s="690">
        <v>357.73899999999998</v>
      </c>
      <c r="AJ36" s="690">
        <v>388.44200000000001</v>
      </c>
    </row>
    <row r="37" spans="1:36" s="174" customFormat="1" ht="17" hidden="1">
      <c r="A37" s="433"/>
      <c r="B37" s="308" t="s">
        <v>247</v>
      </c>
      <c r="C37" s="309"/>
      <c r="D37" s="309"/>
      <c r="E37" s="309"/>
      <c r="F37" s="600"/>
      <c r="N37" s="687">
        <v>33</v>
      </c>
      <c r="O37" s="687" t="s">
        <v>347</v>
      </c>
      <c r="P37" s="687" t="s">
        <v>102</v>
      </c>
      <c r="Q37" s="687" t="s">
        <v>348</v>
      </c>
      <c r="R37" s="687">
        <f t="shared" si="0"/>
        <v>580</v>
      </c>
      <c r="S37" s="687">
        <f t="shared" si="1"/>
        <v>3.988535944590399E-2</v>
      </c>
      <c r="T37" s="687">
        <f t="shared" si="2"/>
        <v>16.399828030954428</v>
      </c>
      <c r="U37" s="687">
        <f t="shared" si="3"/>
        <v>3.8930021495103891E-2</v>
      </c>
      <c r="V37" s="687">
        <f t="shared" si="4"/>
        <v>231.99799999999999</v>
      </c>
      <c r="W37" s="687">
        <f t="shared" si="4"/>
        <v>330.00800000000004</v>
      </c>
      <c r="X37" s="687">
        <f t="shared" si="5"/>
        <v>9.3000859845227861</v>
      </c>
      <c r="Y37" s="687">
        <f t="shared" si="6"/>
        <v>25.699914015477212</v>
      </c>
      <c r="Z37" s="687">
        <f t="shared" si="7"/>
        <v>29.5</v>
      </c>
      <c r="AA37" s="687" t="b">
        <v>0</v>
      </c>
      <c r="AB37" s="690">
        <v>9291.6</v>
      </c>
      <c r="AC37" s="690">
        <v>0.16700000000000001</v>
      </c>
      <c r="AD37" s="690">
        <v>38.146000000000001</v>
      </c>
      <c r="AE37" s="690">
        <v>0.16300000000000001</v>
      </c>
      <c r="AF37" s="690">
        <v>111.11</v>
      </c>
      <c r="AG37" s="690">
        <v>165.56</v>
      </c>
      <c r="AH37" s="690">
        <v>21.632000000000001</v>
      </c>
      <c r="AI37" s="690">
        <v>59.777999999999999</v>
      </c>
      <c r="AJ37" s="690">
        <v>68.617000000000004</v>
      </c>
    </row>
    <row r="38" spans="1:36" s="174" customFormat="1" ht="17" hidden="1">
      <c r="A38" s="433"/>
      <c r="B38" s="310" t="s">
        <v>191</v>
      </c>
      <c r="C38" s="311">
        <f>C14</f>
        <v>0</v>
      </c>
      <c r="D38" s="311">
        <f>D14*D15</f>
        <v>0</v>
      </c>
      <c r="E38" s="311">
        <f>E14*E15</f>
        <v>0</v>
      </c>
      <c r="F38" s="601"/>
      <c r="N38" s="687">
        <v>34</v>
      </c>
      <c r="O38" s="687" t="s">
        <v>349</v>
      </c>
      <c r="P38" s="687" t="s">
        <v>102</v>
      </c>
      <c r="Q38" s="687" t="s">
        <v>350</v>
      </c>
      <c r="R38" s="687">
        <f t="shared" si="0"/>
        <v>580</v>
      </c>
      <c r="S38" s="687">
        <f t="shared" si="1"/>
        <v>5.1110580367805108E-2</v>
      </c>
      <c r="T38" s="687">
        <f t="shared" si="2"/>
        <v>23</v>
      </c>
      <c r="U38" s="687">
        <f t="shared" si="3"/>
        <v>4.8961069978504891E-2</v>
      </c>
      <c r="V38" s="687">
        <f t="shared" si="4"/>
        <v>413.99599999999998</v>
      </c>
      <c r="W38" s="687">
        <f t="shared" si="4"/>
        <v>500</v>
      </c>
      <c r="X38" s="687">
        <f t="shared" si="5"/>
        <v>18</v>
      </c>
      <c r="Y38" s="687">
        <f t="shared" si="6"/>
        <v>41</v>
      </c>
      <c r="Z38" s="687">
        <f t="shared" si="7"/>
        <v>45</v>
      </c>
      <c r="AA38" s="687" t="b">
        <v>0</v>
      </c>
      <c r="AB38" s="690">
        <v>9291.6</v>
      </c>
      <c r="AC38" s="690">
        <v>0.214</v>
      </c>
      <c r="AD38" s="690">
        <v>53.497999999999998</v>
      </c>
      <c r="AE38" s="690">
        <v>0.20499999999999999</v>
      </c>
      <c r="AF38" s="690">
        <v>212.22</v>
      </c>
      <c r="AG38" s="690">
        <v>260</v>
      </c>
      <c r="AH38" s="690">
        <v>41.868000000000002</v>
      </c>
      <c r="AI38" s="690">
        <v>95.366</v>
      </c>
      <c r="AJ38" s="690">
        <v>104.67</v>
      </c>
    </row>
    <row r="39" spans="1:36" s="174" customFormat="1" ht="17" hidden="1">
      <c r="A39" s="433"/>
      <c r="B39" s="310" t="s">
        <v>192</v>
      </c>
      <c r="C39" s="311">
        <f>C38</f>
        <v>0</v>
      </c>
      <c r="D39" s="312">
        <f>D14-D38</f>
        <v>0</v>
      </c>
      <c r="E39" s="312">
        <f>E14-E38</f>
        <v>0</v>
      </c>
      <c r="F39" s="601"/>
      <c r="N39" s="687">
        <v>35</v>
      </c>
      <c r="O39" s="687" t="s">
        <v>351</v>
      </c>
      <c r="P39" s="687" t="s">
        <v>102</v>
      </c>
      <c r="Q39" s="687" t="s">
        <v>352</v>
      </c>
      <c r="R39" s="687">
        <f t="shared" si="0"/>
        <v>480.00000000000006</v>
      </c>
      <c r="S39" s="691">
        <f t="shared" si="1"/>
        <v>0.13995700979221398</v>
      </c>
      <c r="T39" s="687">
        <f t="shared" si="2"/>
        <v>0</v>
      </c>
      <c r="U39" s="687">
        <f t="shared" si="3"/>
        <v>0</v>
      </c>
      <c r="V39" s="687">
        <f t="shared" si="4"/>
        <v>2550.0020000000004</v>
      </c>
      <c r="W39" s="687">
        <f t="shared" si="4"/>
        <v>-4.0000000000048885E-3</v>
      </c>
      <c r="X39" s="687">
        <f t="shared" si="5"/>
        <v>0</v>
      </c>
      <c r="Y39" s="687">
        <f t="shared" si="6"/>
        <v>0</v>
      </c>
      <c r="Z39" s="687">
        <f t="shared" si="7"/>
        <v>0</v>
      </c>
      <c r="AA39" s="687" t="b">
        <v>0</v>
      </c>
      <c r="AB39" s="690">
        <v>7689.6</v>
      </c>
      <c r="AC39" s="690">
        <v>0.58599999999999997</v>
      </c>
      <c r="AD39" s="690">
        <v>0</v>
      </c>
      <c r="AE39" s="690">
        <v>0</v>
      </c>
      <c r="AF39" s="690">
        <v>1398.89</v>
      </c>
      <c r="AG39" s="690">
        <v>-17.78</v>
      </c>
      <c r="AH39" s="690">
        <v>0</v>
      </c>
      <c r="AI39" s="690">
        <v>0</v>
      </c>
      <c r="AJ39" s="690">
        <v>0</v>
      </c>
    </row>
    <row r="40" spans="1:36" s="174" customFormat="1" ht="17" hidden="1">
      <c r="A40" s="433"/>
      <c r="B40" s="310" t="s">
        <v>193</v>
      </c>
      <c r="C40" s="311">
        <f>C39</f>
        <v>0</v>
      </c>
      <c r="D40" s="313">
        <f>D39*D16/(1-D16)</f>
        <v>0</v>
      </c>
      <c r="E40" s="313">
        <f>E39*E16/(1-E16)</f>
        <v>0</v>
      </c>
      <c r="F40" s="601"/>
      <c r="N40" s="687">
        <v>36</v>
      </c>
      <c r="O40" s="687" t="s">
        <v>353</v>
      </c>
      <c r="P40" s="687" t="s">
        <v>102</v>
      </c>
      <c r="Q40" s="687" t="s">
        <v>354</v>
      </c>
      <c r="R40" s="687">
        <f t="shared" si="0"/>
        <v>480.00000000000006</v>
      </c>
      <c r="S40" s="687">
        <v>0.12</v>
      </c>
      <c r="T40" s="687">
        <f t="shared" si="2"/>
        <v>48</v>
      </c>
      <c r="U40" s="687">
        <f t="shared" si="3"/>
        <v>0</v>
      </c>
      <c r="V40" s="687">
        <f t="shared" si="4"/>
        <v>2800.0039999999999</v>
      </c>
      <c r="W40" s="687">
        <f t="shared" si="4"/>
        <v>2800.0039999999999</v>
      </c>
      <c r="X40" s="687">
        <f t="shared" si="5"/>
        <v>750</v>
      </c>
      <c r="Y40" s="687">
        <f t="shared" si="6"/>
        <v>126</v>
      </c>
      <c r="Z40" s="687">
        <f t="shared" si="7"/>
        <v>141.99999999999997</v>
      </c>
      <c r="AA40" s="687" t="b">
        <v>0</v>
      </c>
      <c r="AB40" s="690">
        <v>7689.6</v>
      </c>
      <c r="AC40" s="690">
        <v>1.0469999999999999</v>
      </c>
      <c r="AD40" s="690">
        <v>111.648</v>
      </c>
      <c r="AE40" s="690">
        <v>0</v>
      </c>
      <c r="AF40" s="690">
        <v>1537.78</v>
      </c>
      <c r="AG40" s="690">
        <v>1537.78</v>
      </c>
      <c r="AH40" s="690">
        <v>1744.5</v>
      </c>
      <c r="AI40" s="690">
        <v>293.07600000000002</v>
      </c>
      <c r="AJ40" s="690">
        <v>330.29199999999997</v>
      </c>
    </row>
    <row r="41" spans="1:36" s="174" customFormat="1" ht="17" hidden="1">
      <c r="A41" s="433"/>
      <c r="B41" s="310" t="s">
        <v>194</v>
      </c>
      <c r="C41" s="311">
        <f>C40</f>
        <v>0</v>
      </c>
      <c r="D41" s="312">
        <f>D39+D40</f>
        <v>0</v>
      </c>
      <c r="E41" s="312">
        <f>E39+E40</f>
        <v>0</v>
      </c>
      <c r="F41" s="601"/>
      <c r="G41" s="179"/>
      <c r="N41" s="687">
        <v>37</v>
      </c>
      <c r="O41" s="687" t="s">
        <v>355</v>
      </c>
      <c r="P41" s="687" t="s">
        <v>102</v>
      </c>
      <c r="Q41" s="687" t="s">
        <v>356</v>
      </c>
      <c r="R41" s="687">
        <f t="shared" si="0"/>
        <v>455.00000000000006</v>
      </c>
      <c r="S41" s="687">
        <f t="shared" si="1"/>
        <v>6.9023166945306899E-2</v>
      </c>
      <c r="T41" s="687">
        <f t="shared" si="2"/>
        <v>25</v>
      </c>
      <c r="U41" s="687">
        <f t="shared" si="3"/>
        <v>6.3768808215906372E-2</v>
      </c>
      <c r="V41" s="687">
        <f t="shared" si="4"/>
        <v>449.99599999999998</v>
      </c>
      <c r="W41" s="687">
        <f t="shared" si="4"/>
        <v>649.99400000000003</v>
      </c>
      <c r="X41" s="687">
        <f t="shared" si="5"/>
        <v>27</v>
      </c>
      <c r="Y41" s="687">
        <f t="shared" si="6"/>
        <v>52</v>
      </c>
      <c r="Z41" s="687">
        <f t="shared" si="7"/>
        <v>64</v>
      </c>
      <c r="AA41" s="687" t="b">
        <v>0</v>
      </c>
      <c r="AB41" s="690">
        <v>7289.1</v>
      </c>
      <c r="AC41" s="690">
        <v>0.28899999999999998</v>
      </c>
      <c r="AD41" s="690">
        <v>58.15</v>
      </c>
      <c r="AE41" s="690">
        <v>0.26700000000000002</v>
      </c>
      <c r="AF41" s="690">
        <v>232.22</v>
      </c>
      <c r="AG41" s="690">
        <v>343.33</v>
      </c>
      <c r="AH41" s="690">
        <v>62.802</v>
      </c>
      <c r="AI41" s="690">
        <v>120.952</v>
      </c>
      <c r="AJ41" s="690">
        <v>148.864</v>
      </c>
    </row>
    <row r="42" spans="1:36" s="174" customFormat="1" hidden="1">
      <c r="A42" s="433"/>
      <c r="B42" s="310"/>
      <c r="C42" s="311"/>
      <c r="D42" s="311"/>
      <c r="E42" s="311"/>
      <c r="F42" s="601"/>
      <c r="N42" s="687">
        <v>38</v>
      </c>
      <c r="O42" s="687" t="s">
        <v>357</v>
      </c>
      <c r="P42" s="687" t="s">
        <v>102</v>
      </c>
      <c r="Q42" s="687" t="s">
        <v>358</v>
      </c>
      <c r="R42" s="687">
        <f t="shared" si="0"/>
        <v>445</v>
      </c>
      <c r="S42" s="687">
        <f t="shared" si="1"/>
        <v>0.10699785048961069</v>
      </c>
      <c r="T42" s="687">
        <f t="shared" si="2"/>
        <v>48</v>
      </c>
      <c r="U42" s="687">
        <f t="shared" si="3"/>
        <v>0.14592787198471457</v>
      </c>
      <c r="V42" s="687">
        <f t="shared" si="4"/>
        <v>786.00199999999995</v>
      </c>
      <c r="W42" s="687">
        <f t="shared" si="4"/>
        <v>899.99600000000009</v>
      </c>
      <c r="X42" s="687">
        <f t="shared" si="5"/>
        <v>77.800085984522781</v>
      </c>
      <c r="Y42" s="687">
        <f t="shared" si="6"/>
        <v>125.80008598452278</v>
      </c>
      <c r="Z42" s="687">
        <f t="shared" si="7"/>
        <v>141.99999999999997</v>
      </c>
      <c r="AA42" s="687" t="b">
        <v>0</v>
      </c>
      <c r="AB42" s="690">
        <v>7128.9</v>
      </c>
      <c r="AC42" s="690">
        <v>0.44800000000000001</v>
      </c>
      <c r="AD42" s="690">
        <v>111.648</v>
      </c>
      <c r="AE42" s="690">
        <v>0.61099999999999999</v>
      </c>
      <c r="AF42" s="690">
        <v>418.89</v>
      </c>
      <c r="AG42" s="690">
        <v>482.22</v>
      </c>
      <c r="AH42" s="690">
        <v>180.96299999999999</v>
      </c>
      <c r="AI42" s="690">
        <v>292.61099999999999</v>
      </c>
      <c r="AJ42" s="690">
        <v>330.29199999999997</v>
      </c>
    </row>
    <row r="43" spans="1:36" s="174" customFormat="1" ht="17" hidden="1">
      <c r="A43" s="433"/>
      <c r="B43" s="310" t="s">
        <v>131</v>
      </c>
      <c r="C43" s="311"/>
      <c r="D43" s="311"/>
      <c r="E43" s="311"/>
      <c r="F43" s="601"/>
      <c r="N43" s="687">
        <v>39</v>
      </c>
      <c r="O43" s="687" t="s">
        <v>359</v>
      </c>
      <c r="P43" s="687" t="s">
        <v>102</v>
      </c>
      <c r="Q43" s="687"/>
      <c r="R43" s="687">
        <v>150</v>
      </c>
      <c r="S43" s="687">
        <f t="shared" si="1"/>
        <v>0.25005970862192495</v>
      </c>
      <c r="T43" s="687">
        <f t="shared" si="2"/>
        <v>0</v>
      </c>
      <c r="U43" s="687">
        <f t="shared" si="3"/>
        <v>0</v>
      </c>
      <c r="V43" s="687">
        <f t="shared" si="4"/>
        <v>5000</v>
      </c>
      <c r="W43" s="687">
        <f t="shared" si="4"/>
        <v>-4.0000000000048885E-3</v>
      </c>
      <c r="X43" s="687">
        <f t="shared" si="5"/>
        <v>0</v>
      </c>
      <c r="Y43" s="687">
        <f t="shared" si="6"/>
        <v>0</v>
      </c>
      <c r="Z43" s="687">
        <f t="shared" si="7"/>
        <v>0</v>
      </c>
      <c r="AA43" s="687" t="b">
        <v>0</v>
      </c>
      <c r="AB43" s="690">
        <v>0</v>
      </c>
      <c r="AC43" s="690">
        <v>1.0469999999999999</v>
      </c>
      <c r="AD43" s="690">
        <v>0</v>
      </c>
      <c r="AE43" s="690">
        <v>0</v>
      </c>
      <c r="AF43" s="690">
        <v>2760</v>
      </c>
      <c r="AG43" s="690">
        <v>-17.78</v>
      </c>
      <c r="AH43" s="690">
        <v>0</v>
      </c>
      <c r="AI43" s="690">
        <v>0</v>
      </c>
      <c r="AJ43" s="690">
        <v>0</v>
      </c>
    </row>
    <row r="44" spans="1:36" s="174" customFormat="1" ht="17" hidden="1">
      <c r="A44" s="433"/>
      <c r="B44" s="310" t="s">
        <v>195</v>
      </c>
      <c r="C44" s="311" t="str">
        <f>C25</f>
        <v xml:space="preserve">Btu/hr. </v>
      </c>
      <c r="D44" s="312">
        <f>1*D38*(212-D17)</f>
        <v>0</v>
      </c>
      <c r="E44" s="312">
        <f>1*E38*(212-E17)</f>
        <v>0</v>
      </c>
      <c r="F44" s="601"/>
      <c r="N44" s="687">
        <v>40</v>
      </c>
      <c r="O44" s="687" t="s">
        <v>360</v>
      </c>
      <c r="P44" s="687" t="s">
        <v>102</v>
      </c>
      <c r="Q44" s="687"/>
      <c r="R44" s="687">
        <v>150</v>
      </c>
      <c r="S44" s="687">
        <f t="shared" si="1"/>
        <v>0.25005970862192495</v>
      </c>
      <c r="T44" s="687">
        <v>0</v>
      </c>
      <c r="U44" s="687">
        <f t="shared" si="3"/>
        <v>0</v>
      </c>
      <c r="V44" s="687">
        <f t="shared" si="4"/>
        <v>5000</v>
      </c>
      <c r="W44" s="687">
        <f t="shared" si="4"/>
        <v>-4.0000000000048885E-3</v>
      </c>
      <c r="X44" s="687">
        <f t="shared" si="5"/>
        <v>0</v>
      </c>
      <c r="Y44" s="687">
        <v>0</v>
      </c>
      <c r="Z44" s="687">
        <f t="shared" si="7"/>
        <v>0</v>
      </c>
      <c r="AA44" s="687" t="b">
        <v>0</v>
      </c>
      <c r="AB44" s="690">
        <v>0</v>
      </c>
      <c r="AC44" s="690">
        <v>1.0469999999999999</v>
      </c>
      <c r="AD44" s="690">
        <v>0</v>
      </c>
      <c r="AE44" s="690">
        <v>0</v>
      </c>
      <c r="AF44" s="690">
        <v>2760</v>
      </c>
      <c r="AG44" s="690">
        <v>-17.78</v>
      </c>
      <c r="AH44" s="690">
        <v>0</v>
      </c>
      <c r="AI44" s="690">
        <v>0</v>
      </c>
      <c r="AJ44" s="690">
        <v>0</v>
      </c>
    </row>
    <row r="45" spans="1:36" s="174" customFormat="1" ht="34" hidden="1">
      <c r="A45" s="433"/>
      <c r="B45" s="310" t="s">
        <v>208</v>
      </c>
      <c r="C45" s="311" t="str">
        <f>C44</f>
        <v xml:space="preserve">Btu/hr. </v>
      </c>
      <c r="D45" s="312">
        <f>970*(D38-D40)</f>
        <v>0</v>
      </c>
      <c r="E45" s="312">
        <f>970*(E38-E40)</f>
        <v>0</v>
      </c>
      <c r="F45" s="601" t="s">
        <v>730</v>
      </c>
      <c r="N45" s="685"/>
      <c r="O45" s="685" t="s">
        <v>133</v>
      </c>
      <c r="P45" s="685"/>
      <c r="Q45" s="685"/>
      <c r="R45" s="692"/>
      <c r="S45" s="693" t="s">
        <v>361</v>
      </c>
      <c r="T45" s="693" t="s">
        <v>362</v>
      </c>
      <c r="U45" s="693" t="s">
        <v>363</v>
      </c>
      <c r="V45" s="693" t="s">
        <v>364</v>
      </c>
      <c r="W45" s="693"/>
      <c r="X45" s="693"/>
      <c r="Y45" s="693"/>
      <c r="Z45" s="693"/>
      <c r="AA45" s="694"/>
      <c r="AB45" s="685"/>
      <c r="AC45" s="685"/>
      <c r="AD45" s="685"/>
      <c r="AE45" s="685"/>
      <c r="AF45" s="685"/>
      <c r="AG45" s="685"/>
      <c r="AH45" s="685"/>
      <c r="AI45" s="685"/>
      <c r="AJ45" s="685"/>
    </row>
    <row r="46" spans="1:36" s="174" customFormat="1" ht="34" hidden="1">
      <c r="A46" s="433"/>
      <c r="B46" s="310" t="s">
        <v>209</v>
      </c>
      <c r="C46" s="311" t="str">
        <f>C45</f>
        <v xml:space="preserve">Btu/hr. </v>
      </c>
      <c r="D46" s="312">
        <f>0.481*(D38-D40)*(D19-212)</f>
        <v>0</v>
      </c>
      <c r="E46" s="312">
        <f>0.481*(E38-E40)*(E19-212)</f>
        <v>0</v>
      </c>
      <c r="F46" s="601" t="s">
        <v>278</v>
      </c>
      <c r="N46" s="685"/>
      <c r="O46" s="685"/>
      <c r="P46" s="685"/>
      <c r="Q46" s="685"/>
      <c r="R46" s="692"/>
      <c r="S46" s="692"/>
      <c r="T46" s="692"/>
      <c r="U46" s="692"/>
      <c r="V46" s="692"/>
      <c r="W46" s="692"/>
      <c r="X46" s="692"/>
      <c r="Y46" s="692"/>
      <c r="Z46" s="692"/>
      <c r="AA46" s="685"/>
      <c r="AB46" s="685"/>
      <c r="AC46" s="685"/>
      <c r="AD46" s="685"/>
      <c r="AE46" s="685"/>
      <c r="AF46" s="685"/>
      <c r="AG46" s="685"/>
      <c r="AH46" s="685"/>
      <c r="AI46" s="685"/>
      <c r="AJ46" s="685"/>
    </row>
    <row r="47" spans="1:36" s="174" customFormat="1" ht="34" hidden="1">
      <c r="A47" s="433"/>
      <c r="B47" s="310" t="s">
        <v>210</v>
      </c>
      <c r="C47" s="311" t="str">
        <f>C46</f>
        <v xml:space="preserve">Btu/hr. </v>
      </c>
      <c r="D47" s="312">
        <f>1*(D40)*(D19-212)</f>
        <v>0</v>
      </c>
      <c r="E47" s="312">
        <f>1*(E40)*(E19-212)</f>
        <v>0</v>
      </c>
      <c r="F47" s="601" t="s">
        <v>731</v>
      </c>
      <c r="N47" s="685"/>
      <c r="O47" s="685"/>
      <c r="P47" s="685"/>
      <c r="Q47" s="685"/>
      <c r="R47" s="692"/>
      <c r="S47" s="692"/>
      <c r="T47" s="692"/>
      <c r="U47" s="692"/>
      <c r="V47" s="692"/>
      <c r="W47" s="692"/>
      <c r="X47" s="692"/>
      <c r="Y47" s="692"/>
      <c r="Z47" s="692"/>
      <c r="AA47" s="685"/>
      <c r="AB47" s="685"/>
      <c r="AC47" s="685"/>
      <c r="AD47" s="685"/>
      <c r="AE47" s="685"/>
      <c r="AF47" s="685"/>
      <c r="AG47" s="685"/>
      <c r="AH47" s="685"/>
      <c r="AI47" s="685"/>
      <c r="AJ47" s="685"/>
    </row>
    <row r="48" spans="1:36" s="174" customFormat="1" ht="17" hidden="1">
      <c r="A48" s="433"/>
      <c r="B48" s="314" t="s">
        <v>196</v>
      </c>
      <c r="C48" s="315" t="str">
        <f>C47</f>
        <v xml:space="preserve">Btu/hr. </v>
      </c>
      <c r="D48" s="316">
        <f>SUM(D44:D47)</f>
        <v>0</v>
      </c>
      <c r="E48" s="316">
        <f>SUM(E44:E47)</f>
        <v>0</v>
      </c>
      <c r="F48" s="601"/>
      <c r="N48" s="685"/>
      <c r="O48" s="685"/>
      <c r="P48" s="685"/>
      <c r="Q48" s="685"/>
      <c r="R48" s="692"/>
      <c r="S48" s="692"/>
      <c r="T48" s="692"/>
      <c r="U48" s="692"/>
      <c r="V48" s="692"/>
      <c r="W48" s="692"/>
      <c r="X48" s="692"/>
      <c r="Y48" s="692"/>
      <c r="Z48" s="692"/>
      <c r="AA48" s="685"/>
      <c r="AB48" s="685"/>
      <c r="AC48" s="685"/>
      <c r="AD48" s="685"/>
      <c r="AE48" s="685"/>
      <c r="AF48" s="685"/>
      <c r="AG48" s="685"/>
      <c r="AH48" s="685"/>
      <c r="AI48" s="685"/>
      <c r="AJ48" s="685"/>
    </row>
    <row r="49" spans="1:36" s="174" customFormat="1" hidden="1">
      <c r="A49" s="433"/>
      <c r="B49" s="310"/>
      <c r="C49" s="311"/>
      <c r="D49" s="311"/>
      <c r="E49" s="311"/>
      <c r="F49" s="601"/>
      <c r="N49" s="685"/>
      <c r="O49" s="685"/>
      <c r="P49" s="685"/>
      <c r="Q49" s="685"/>
      <c r="R49" s="692"/>
      <c r="S49" s="692"/>
      <c r="T49" s="692"/>
      <c r="U49" s="692"/>
      <c r="V49" s="692"/>
      <c r="W49" s="692"/>
      <c r="X49" s="692"/>
      <c r="Y49" s="692"/>
      <c r="Z49" s="692"/>
      <c r="AA49" s="685"/>
      <c r="AB49" s="685"/>
      <c r="AC49" s="685"/>
      <c r="AD49" s="685"/>
      <c r="AE49" s="685"/>
      <c r="AF49" s="685"/>
      <c r="AG49" s="685"/>
      <c r="AH49" s="685"/>
      <c r="AI49" s="685"/>
      <c r="AJ49" s="685"/>
    </row>
    <row r="50" spans="1:36" s="174" customFormat="1" ht="17" hidden="1">
      <c r="A50" s="433"/>
      <c r="B50" s="310" t="s">
        <v>132</v>
      </c>
      <c r="C50" s="311"/>
      <c r="D50" s="311"/>
      <c r="E50" s="311"/>
      <c r="F50" s="601"/>
      <c r="N50" s="695"/>
      <c r="O50" s="696"/>
      <c r="P50" s="695"/>
      <c r="Q50" s="696"/>
      <c r="R50" s="697"/>
      <c r="S50" s="698"/>
      <c r="T50" s="697"/>
      <c r="U50" s="698"/>
      <c r="V50" s="697"/>
      <c r="W50" s="698"/>
      <c r="X50" s="697"/>
      <c r="Y50" s="698"/>
      <c r="Z50" s="697"/>
      <c r="AA50" s="696"/>
      <c r="AB50" s="695"/>
      <c r="AC50" s="696"/>
      <c r="AD50" s="695"/>
      <c r="AE50" s="696"/>
      <c r="AF50" s="695"/>
      <c r="AG50" s="696"/>
      <c r="AH50" s="695"/>
      <c r="AI50" s="696"/>
      <c r="AJ50" s="695"/>
    </row>
    <row r="51" spans="1:36" s="174" customFormat="1" ht="34" hidden="1">
      <c r="A51" s="433"/>
      <c r="B51" s="310" t="s">
        <v>211</v>
      </c>
      <c r="C51" s="311" t="s">
        <v>197</v>
      </c>
      <c r="D51" s="312">
        <f>IF(D18&lt;D11,(D39*D8*(D18-D17)), (D39*D8*(D11-D17)))</f>
        <v>0</v>
      </c>
      <c r="E51" s="312">
        <f>IF(E18&lt;E11,(E39*E8*(E18-E17)), (E39*E8*(E11-E17)))</f>
        <v>0</v>
      </c>
      <c r="F51" s="601"/>
      <c r="N51" s="685"/>
      <c r="O51" s="685"/>
      <c r="P51" s="685"/>
      <c r="Q51" s="685"/>
      <c r="R51" s="692"/>
      <c r="S51" s="692"/>
      <c r="T51" s="692"/>
      <c r="U51" s="692"/>
      <c r="V51" s="692"/>
      <c r="W51" s="692"/>
      <c r="X51" s="692"/>
      <c r="Y51" s="692"/>
      <c r="Z51" s="692"/>
      <c r="AA51" s="685"/>
      <c r="AB51" s="685"/>
      <c r="AC51" s="685"/>
      <c r="AD51" s="685"/>
      <c r="AE51" s="685"/>
      <c r="AF51" s="685"/>
      <c r="AG51" s="685"/>
      <c r="AH51" s="685"/>
      <c r="AI51" s="685"/>
      <c r="AJ51" s="685"/>
    </row>
    <row r="52" spans="1:36" s="174" customFormat="1" ht="17" hidden="1">
      <c r="A52" s="433"/>
      <c r="B52" s="310" t="s">
        <v>213</v>
      </c>
      <c r="C52" s="311" t="s">
        <v>114</v>
      </c>
      <c r="D52" s="312">
        <f>D39*D20</f>
        <v>0</v>
      </c>
      <c r="E52" s="312">
        <f>E39*E20</f>
        <v>0</v>
      </c>
      <c r="F52" s="601"/>
      <c r="N52" s="685"/>
      <c r="O52" s="685"/>
      <c r="P52" s="685"/>
      <c r="Q52" s="685"/>
      <c r="R52" s="692"/>
      <c r="S52" s="692"/>
      <c r="T52" s="692"/>
      <c r="U52" s="692"/>
      <c r="V52" s="692"/>
      <c r="W52" s="692"/>
      <c r="X52" s="692"/>
      <c r="Y52" s="692"/>
      <c r="Z52" s="692"/>
      <c r="AA52" s="685"/>
      <c r="AB52" s="685"/>
      <c r="AC52" s="685"/>
      <c r="AD52" s="685"/>
      <c r="AE52" s="685"/>
      <c r="AF52" s="685"/>
      <c r="AG52" s="685"/>
      <c r="AH52" s="685"/>
      <c r="AI52" s="685"/>
      <c r="AJ52" s="685"/>
    </row>
    <row r="53" spans="1:36" s="174" customFormat="1" ht="17" hidden="1">
      <c r="A53" s="433"/>
      <c r="B53" s="310" t="s">
        <v>212</v>
      </c>
      <c r="C53" s="311" t="s">
        <v>114</v>
      </c>
      <c r="D53" s="312">
        <f>D39-D52</f>
        <v>0</v>
      </c>
      <c r="E53" s="312">
        <f>E39-E52</f>
        <v>0</v>
      </c>
      <c r="F53" s="601"/>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row>
    <row r="54" spans="1:36" s="174" customFormat="1" ht="17" hidden="1">
      <c r="A54" s="433"/>
      <c r="B54" s="310" t="s">
        <v>214</v>
      </c>
      <c r="C54" s="311" t="s">
        <v>197</v>
      </c>
      <c r="D54" s="313">
        <f>IF(D18&gt;=D11, D52*D9,0)</f>
        <v>0</v>
      </c>
      <c r="E54" s="313">
        <f>IF(E18&gt;=E11, E52*E9,0)</f>
        <v>0</v>
      </c>
      <c r="F54" s="601"/>
      <c r="N54" s="685"/>
      <c r="O54" s="685"/>
      <c r="P54" s="685"/>
      <c r="Q54" s="685"/>
      <c r="R54" s="692"/>
      <c r="S54" s="692"/>
      <c r="T54" s="692"/>
      <c r="U54" s="692"/>
      <c r="V54" s="692"/>
      <c r="W54" s="692"/>
      <c r="X54" s="692"/>
      <c r="Y54" s="692"/>
      <c r="Z54" s="692"/>
      <c r="AA54" s="685"/>
      <c r="AB54" s="685"/>
      <c r="AC54" s="685"/>
      <c r="AD54" s="685"/>
      <c r="AE54" s="685"/>
      <c r="AF54" s="685"/>
      <c r="AG54" s="685"/>
      <c r="AH54" s="685"/>
      <c r="AI54" s="685"/>
      <c r="AJ54" s="685"/>
    </row>
    <row r="55" spans="1:36" s="174" customFormat="1" ht="17" hidden="1">
      <c r="A55" s="433"/>
      <c r="B55" s="310" t="s">
        <v>732</v>
      </c>
      <c r="C55" s="311" t="s">
        <v>197</v>
      </c>
      <c r="D55" s="311">
        <f>IF(D18&gt;=D11,(D52*D10*(D18-D11)),0)</f>
        <v>0</v>
      </c>
      <c r="E55" s="311">
        <f>IF(E18&gt;=E11,(E52*E10*(E18-E11)),0)</f>
        <v>0</v>
      </c>
      <c r="F55" s="601"/>
      <c r="N55" s="685"/>
      <c r="O55" s="685"/>
      <c r="P55" s="685"/>
      <c r="Q55" s="685"/>
      <c r="R55" s="692"/>
      <c r="S55" s="692"/>
      <c r="T55" s="692"/>
      <c r="U55" s="692"/>
      <c r="V55" s="692"/>
      <c r="W55" s="692"/>
      <c r="X55" s="692"/>
      <c r="Y55" s="692"/>
      <c r="Z55" s="692"/>
      <c r="AA55" s="685"/>
      <c r="AB55" s="685"/>
      <c r="AC55" s="685"/>
      <c r="AD55" s="685"/>
      <c r="AE55" s="685"/>
      <c r="AF55" s="685"/>
      <c r="AG55" s="685"/>
      <c r="AH55" s="685"/>
      <c r="AI55" s="685"/>
      <c r="AJ55" s="685"/>
    </row>
    <row r="56" spans="1:36" s="174" customFormat="1" ht="34" hidden="1">
      <c r="A56" s="433"/>
      <c r="B56" s="310" t="s">
        <v>215</v>
      </c>
      <c r="C56" s="311" t="s">
        <v>197</v>
      </c>
      <c r="D56" s="313">
        <f>IF(D18&gt;D11, (D53*D10*(D18-D11)),0)</f>
        <v>0</v>
      </c>
      <c r="E56" s="313">
        <f>IF(E18&gt;E11, (E53*E10*(E18-E11)),0)</f>
        <v>0</v>
      </c>
      <c r="F56" s="601"/>
      <c r="N56" s="685"/>
      <c r="O56" s="685"/>
      <c r="P56" s="685"/>
      <c r="Q56" s="685"/>
      <c r="R56" s="692"/>
      <c r="S56" s="692"/>
      <c r="T56" s="692"/>
      <c r="U56" s="692"/>
      <c r="V56" s="692"/>
      <c r="W56" s="692"/>
      <c r="X56" s="692"/>
      <c r="Y56" s="692"/>
      <c r="Z56" s="692"/>
      <c r="AA56" s="685"/>
      <c r="AB56" s="685"/>
      <c r="AC56" s="685"/>
      <c r="AD56" s="685"/>
      <c r="AE56" s="685"/>
      <c r="AF56" s="685"/>
      <c r="AG56" s="685"/>
      <c r="AH56" s="685"/>
      <c r="AI56" s="685"/>
      <c r="AJ56" s="685"/>
    </row>
    <row r="57" spans="1:36" s="174" customFormat="1" ht="17" hidden="1">
      <c r="A57" s="433"/>
      <c r="B57" s="310" t="s">
        <v>198</v>
      </c>
      <c r="C57" s="311" t="s">
        <v>197</v>
      </c>
      <c r="D57" s="311">
        <f>IF(D23="Exothermic", (-D39*D21*D22), D39*D21*D22)</f>
        <v>0</v>
      </c>
      <c r="E57" s="311">
        <f>IF(E23="Exothermic", (-E39*E21*E22), E39*E21*E22)</f>
        <v>0</v>
      </c>
      <c r="F57" s="601"/>
      <c r="N57" s="685"/>
      <c r="O57" s="685"/>
      <c r="P57" s="685"/>
      <c r="Q57" s="685"/>
      <c r="R57" s="692"/>
      <c r="S57" s="692"/>
      <c r="T57" s="692"/>
      <c r="U57" s="692"/>
      <c r="V57" s="692"/>
      <c r="W57" s="692"/>
      <c r="X57" s="692"/>
      <c r="Y57" s="692"/>
      <c r="Z57" s="692"/>
      <c r="AA57" s="685"/>
      <c r="AB57" s="685"/>
      <c r="AC57" s="685"/>
      <c r="AD57" s="685"/>
      <c r="AE57" s="685"/>
      <c r="AF57" s="685"/>
      <c r="AG57" s="685"/>
      <c r="AH57" s="685"/>
      <c r="AI57" s="685"/>
      <c r="AJ57" s="685"/>
    </row>
    <row r="58" spans="1:36" s="174" customFormat="1" ht="17" hidden="1">
      <c r="A58" s="433"/>
      <c r="B58" s="310" t="s">
        <v>199</v>
      </c>
      <c r="C58" s="311" t="s">
        <v>197</v>
      </c>
      <c r="D58" s="311" t="s">
        <v>188</v>
      </c>
      <c r="E58" s="311" t="s">
        <v>188</v>
      </c>
      <c r="F58" s="601"/>
      <c r="N58" s="685"/>
      <c r="O58" s="685"/>
      <c r="P58" s="685"/>
      <c r="Q58" s="685"/>
      <c r="R58" s="692"/>
      <c r="S58" s="692"/>
      <c r="T58" s="692"/>
      <c r="U58" s="692"/>
      <c r="V58" s="692"/>
      <c r="W58" s="692"/>
      <c r="X58" s="692"/>
      <c r="Y58" s="692"/>
      <c r="Z58" s="692"/>
      <c r="AA58" s="685"/>
      <c r="AB58" s="685"/>
      <c r="AC58" s="685"/>
      <c r="AD58" s="685"/>
      <c r="AE58" s="685"/>
      <c r="AF58" s="685"/>
      <c r="AG58" s="685"/>
      <c r="AH58" s="685"/>
      <c r="AI58" s="685"/>
      <c r="AJ58" s="685"/>
    </row>
    <row r="59" spans="1:36" s="174" customFormat="1" ht="34" hidden="1">
      <c r="A59" s="433"/>
      <c r="B59" s="310" t="s">
        <v>200</v>
      </c>
      <c r="C59" s="311" t="s">
        <v>197</v>
      </c>
      <c r="D59" s="311" t="s">
        <v>188</v>
      </c>
      <c r="E59" s="311" t="s">
        <v>188</v>
      </c>
      <c r="F59" s="601"/>
      <c r="N59" s="685"/>
      <c r="O59" s="685"/>
      <c r="P59" s="685"/>
      <c r="Q59" s="685"/>
      <c r="R59" s="692"/>
      <c r="S59" s="692"/>
      <c r="T59" s="692"/>
      <c r="U59" s="692"/>
      <c r="V59" s="692"/>
      <c r="W59" s="692"/>
      <c r="X59" s="692"/>
      <c r="Y59" s="692"/>
      <c r="Z59" s="692"/>
      <c r="AA59" s="685"/>
      <c r="AB59" s="685"/>
      <c r="AC59" s="685"/>
      <c r="AD59" s="685"/>
      <c r="AE59" s="685"/>
      <c r="AF59" s="685"/>
      <c r="AG59" s="685"/>
      <c r="AH59" s="685"/>
      <c r="AI59" s="685"/>
      <c r="AJ59" s="685"/>
    </row>
    <row r="60" spans="1:36" s="174" customFormat="1" ht="34" hidden="1">
      <c r="A60" s="433"/>
      <c r="B60" s="310" t="s">
        <v>218</v>
      </c>
      <c r="C60" s="311" t="s">
        <v>197</v>
      </c>
      <c r="D60" s="312">
        <f>D51+ SUM(D54:D56) + SUM(D58:D59)</f>
        <v>0</v>
      </c>
      <c r="E60" s="312">
        <f>E51+ SUM(E54:E56) + SUM(E58:E59)</f>
        <v>0</v>
      </c>
      <c r="F60" s="601"/>
      <c r="N60" s="685"/>
      <c r="O60" s="685"/>
      <c r="P60" s="685"/>
      <c r="Q60" s="685"/>
      <c r="R60" s="692"/>
      <c r="S60" s="692"/>
      <c r="T60" s="692"/>
      <c r="U60" s="692"/>
      <c r="V60" s="692"/>
      <c r="W60" s="692"/>
      <c r="X60" s="692"/>
      <c r="Y60" s="692"/>
      <c r="Z60" s="692"/>
      <c r="AA60" s="685"/>
      <c r="AB60" s="685"/>
      <c r="AC60" s="685"/>
      <c r="AD60" s="685"/>
      <c r="AE60" s="685"/>
      <c r="AF60" s="685"/>
      <c r="AG60" s="685"/>
      <c r="AH60" s="685"/>
      <c r="AI60" s="685"/>
      <c r="AJ60" s="685"/>
    </row>
    <row r="61" spans="1:36" s="174" customFormat="1" hidden="1">
      <c r="A61" s="433"/>
      <c r="B61" s="310"/>
      <c r="C61" s="311"/>
      <c r="D61" s="311"/>
      <c r="E61" s="311"/>
      <c r="F61" s="601"/>
      <c r="N61" s="685"/>
      <c r="O61" s="685"/>
      <c r="P61" s="685"/>
      <c r="Q61" s="685"/>
      <c r="R61" s="692"/>
      <c r="S61" s="692"/>
      <c r="T61" s="692"/>
      <c r="U61" s="692"/>
      <c r="V61" s="692"/>
      <c r="W61" s="692"/>
      <c r="X61" s="692"/>
      <c r="Y61" s="692"/>
      <c r="Z61" s="692"/>
      <c r="AA61" s="685"/>
      <c r="AB61" s="685"/>
      <c r="AC61" s="685"/>
      <c r="AD61" s="685"/>
      <c r="AE61" s="685"/>
      <c r="AF61" s="685"/>
      <c r="AG61" s="685"/>
      <c r="AH61" s="685"/>
      <c r="AI61" s="685"/>
      <c r="AJ61" s="685"/>
    </row>
    <row r="62" spans="1:36" s="174" customFormat="1" ht="34" hidden="1">
      <c r="A62" s="433"/>
      <c r="B62" s="314" t="s">
        <v>220</v>
      </c>
      <c r="C62" s="315" t="s">
        <v>197</v>
      </c>
      <c r="D62" s="316">
        <f>(D48+D60)</f>
        <v>0</v>
      </c>
      <c r="E62" s="316">
        <f>(E48+E60)</f>
        <v>0</v>
      </c>
      <c r="F62" s="601"/>
      <c r="N62" s="685"/>
      <c r="O62" s="685"/>
      <c r="P62" s="685"/>
      <c r="Q62" s="685"/>
      <c r="R62" s="692"/>
      <c r="S62" s="692"/>
      <c r="T62" s="692"/>
      <c r="U62" s="692"/>
      <c r="V62" s="692"/>
      <c r="W62" s="692"/>
      <c r="X62" s="692"/>
      <c r="Y62" s="692"/>
      <c r="Z62" s="692"/>
      <c r="AA62" s="685"/>
      <c r="AB62" s="685"/>
      <c r="AC62" s="685"/>
      <c r="AD62" s="685"/>
      <c r="AE62" s="685"/>
      <c r="AF62" s="685"/>
      <c r="AG62" s="685"/>
      <c r="AH62" s="685"/>
      <c r="AI62" s="685"/>
      <c r="AJ62" s="685"/>
    </row>
    <row r="63" spans="1:36" s="174" customFormat="1" ht="34" hidden="1">
      <c r="A63" s="433"/>
      <c r="B63" s="314" t="s">
        <v>250</v>
      </c>
      <c r="C63" s="315" t="s">
        <v>197</v>
      </c>
      <c r="D63" s="316">
        <f>D62+D57</f>
        <v>0</v>
      </c>
      <c r="E63" s="316">
        <f>E62+E57</f>
        <v>0</v>
      </c>
      <c r="F63" s="601"/>
      <c r="N63" s="685"/>
      <c r="O63" s="685"/>
      <c r="P63" s="685"/>
      <c r="Q63" s="685"/>
      <c r="R63" s="692"/>
      <c r="S63" s="692"/>
      <c r="T63" s="692"/>
      <c r="U63" s="692"/>
      <c r="V63" s="692"/>
      <c r="W63" s="692"/>
      <c r="X63" s="692"/>
      <c r="Y63" s="692"/>
      <c r="Z63" s="692"/>
      <c r="AA63" s="685"/>
      <c r="AB63" s="685"/>
      <c r="AC63" s="685"/>
      <c r="AD63" s="685"/>
      <c r="AE63" s="685"/>
      <c r="AF63" s="685"/>
      <c r="AG63" s="685"/>
      <c r="AH63" s="685"/>
      <c r="AI63" s="685"/>
      <c r="AJ63" s="685"/>
    </row>
    <row r="64" spans="1:36" s="174" customFormat="1" ht="17" hidden="1">
      <c r="A64" s="433"/>
      <c r="B64" s="314"/>
      <c r="C64" s="315"/>
      <c r="D64" s="316"/>
      <c r="E64" s="316" t="s">
        <v>36</v>
      </c>
      <c r="F64" s="601"/>
      <c r="N64" s="685"/>
      <c r="O64" s="685"/>
      <c r="P64" s="685"/>
      <c r="Q64" s="685"/>
      <c r="R64" s="692"/>
      <c r="S64" s="692"/>
      <c r="T64" s="692"/>
      <c r="U64" s="692"/>
      <c r="V64" s="692"/>
      <c r="W64" s="692"/>
      <c r="X64" s="692"/>
      <c r="Y64" s="692"/>
      <c r="Z64" s="692"/>
      <c r="AA64" s="685"/>
      <c r="AB64" s="685"/>
      <c r="AC64" s="685"/>
      <c r="AD64" s="685"/>
      <c r="AE64" s="685"/>
      <c r="AF64" s="685"/>
      <c r="AG64" s="685"/>
      <c r="AH64" s="685"/>
      <c r="AI64" s="685"/>
      <c r="AJ64" s="685"/>
    </row>
    <row r="65" spans="1:36" s="174" customFormat="1" hidden="1">
      <c r="A65" s="433"/>
      <c r="B65" s="314"/>
      <c r="C65" s="315"/>
      <c r="D65" s="316"/>
      <c r="E65" s="316"/>
      <c r="F65" s="601"/>
      <c r="N65" s="685"/>
      <c r="O65" s="685"/>
      <c r="P65" s="685"/>
      <c r="Q65" s="685"/>
      <c r="R65" s="692"/>
      <c r="S65" s="692"/>
      <c r="T65" s="692"/>
      <c r="U65" s="692"/>
      <c r="V65" s="692"/>
      <c r="W65" s="692"/>
      <c r="X65" s="692"/>
      <c r="Y65" s="692"/>
      <c r="Z65" s="692"/>
      <c r="AA65" s="685"/>
      <c r="AB65" s="685"/>
      <c r="AC65" s="685"/>
      <c r="AD65" s="685"/>
      <c r="AE65" s="685"/>
      <c r="AF65" s="685"/>
      <c r="AG65" s="685"/>
      <c r="AH65" s="685"/>
      <c r="AI65" s="685"/>
      <c r="AJ65" s="685"/>
    </row>
    <row r="66" spans="1:36" s="174" customFormat="1" hidden="1">
      <c r="A66" s="433"/>
      <c r="B66" s="314"/>
      <c r="C66" s="315"/>
      <c r="D66" s="316"/>
      <c r="E66" s="316"/>
      <c r="F66" s="601"/>
      <c r="N66" s="685"/>
      <c r="O66" s="685"/>
      <c r="P66" s="685"/>
      <c r="Q66" s="685"/>
      <c r="R66" s="692"/>
      <c r="S66" s="692"/>
      <c r="T66" s="692"/>
      <c r="U66" s="692"/>
      <c r="V66" s="692"/>
      <c r="W66" s="692"/>
      <c r="X66" s="692"/>
      <c r="Y66" s="692"/>
      <c r="Z66" s="692"/>
      <c r="AA66" s="685"/>
      <c r="AB66" s="685"/>
      <c r="AC66" s="685"/>
      <c r="AD66" s="685"/>
      <c r="AE66" s="685"/>
      <c r="AF66" s="685"/>
      <c r="AG66" s="685"/>
      <c r="AH66" s="685"/>
      <c r="AI66" s="685"/>
      <c r="AJ66" s="685"/>
    </row>
    <row r="67" spans="1:36" s="174" customFormat="1" ht="34" hidden="1">
      <c r="A67" s="433"/>
      <c r="B67" s="314" t="s">
        <v>219</v>
      </c>
      <c r="C67" s="311" t="s">
        <v>197</v>
      </c>
      <c r="D67" s="312">
        <f>D62+D24</f>
        <v>0</v>
      </c>
      <c r="E67" s="312">
        <f>E62+E24</f>
        <v>0</v>
      </c>
      <c r="F67" s="601"/>
      <c r="N67" s="685"/>
      <c r="O67" s="685"/>
      <c r="P67" s="685"/>
      <c r="Q67" s="685"/>
      <c r="R67" s="692"/>
      <c r="S67" s="692"/>
      <c r="T67" s="692"/>
      <c r="U67" s="692"/>
      <c r="V67" s="692"/>
      <c r="W67" s="692"/>
      <c r="X67" s="692"/>
      <c r="Y67" s="692"/>
      <c r="Z67" s="692"/>
      <c r="AA67" s="685"/>
      <c r="AB67" s="685"/>
      <c r="AC67" s="685"/>
      <c r="AD67" s="685"/>
      <c r="AE67" s="685"/>
      <c r="AF67" s="685"/>
      <c r="AG67" s="685"/>
      <c r="AH67" s="685"/>
      <c r="AI67" s="685"/>
      <c r="AJ67" s="685"/>
    </row>
    <row r="68" spans="1:36" s="174" customFormat="1" ht="17" hidden="1">
      <c r="A68" s="433"/>
      <c r="B68" s="314" t="s">
        <v>36</v>
      </c>
      <c r="C68" s="311" t="s">
        <v>733</v>
      </c>
      <c r="D68" s="317">
        <f>D67/3413</f>
        <v>0</v>
      </c>
      <c r="E68" s="317">
        <f>E67/3413</f>
        <v>0</v>
      </c>
      <c r="F68" s="601"/>
      <c r="G68" s="168">
        <f>D68/0.65</f>
        <v>0</v>
      </c>
      <c r="N68" s="685"/>
      <c r="O68" s="685"/>
      <c r="P68" s="685"/>
      <c r="Q68" s="685"/>
      <c r="R68" s="692"/>
      <c r="S68" s="692"/>
      <c r="T68" s="692"/>
      <c r="U68" s="692"/>
      <c r="V68" s="692"/>
      <c r="W68" s="692"/>
      <c r="X68" s="692"/>
      <c r="Y68" s="692"/>
      <c r="Z68" s="692"/>
      <c r="AA68" s="685"/>
      <c r="AB68" s="685"/>
      <c r="AC68" s="685"/>
      <c r="AD68" s="685"/>
      <c r="AE68" s="685"/>
      <c r="AF68" s="685"/>
      <c r="AG68" s="685"/>
      <c r="AH68" s="685"/>
      <c r="AI68" s="685"/>
      <c r="AJ68" s="685"/>
    </row>
    <row r="69" spans="1:36" s="174" customFormat="1" hidden="1">
      <c r="A69" s="433"/>
      <c r="B69" s="310"/>
      <c r="C69" s="311"/>
      <c r="D69" s="311"/>
      <c r="E69" s="317">
        <f>E68/3413</f>
        <v>0</v>
      </c>
      <c r="F69" s="601"/>
      <c r="H69" s="180"/>
      <c r="N69" s="685"/>
      <c r="O69" s="685"/>
      <c r="P69" s="685"/>
      <c r="Q69" s="685"/>
      <c r="R69" s="692"/>
      <c r="S69" s="692"/>
      <c r="T69" s="692"/>
      <c r="U69" s="692"/>
      <c r="V69" s="692"/>
      <c r="W69" s="692"/>
      <c r="X69" s="692"/>
      <c r="Y69" s="692"/>
      <c r="Z69" s="692"/>
      <c r="AA69" s="685"/>
      <c r="AB69" s="685"/>
      <c r="AC69" s="685"/>
      <c r="AD69" s="685"/>
      <c r="AE69" s="685"/>
      <c r="AF69" s="685"/>
      <c r="AG69" s="685"/>
      <c r="AH69" s="685"/>
      <c r="AI69" s="685"/>
      <c r="AJ69" s="685"/>
    </row>
    <row r="70" spans="1:36" s="174" customFormat="1" ht="17" hidden="1">
      <c r="A70" s="433"/>
      <c r="B70" s="310" t="s">
        <v>216</v>
      </c>
      <c r="C70" s="311" t="s">
        <v>7</v>
      </c>
      <c r="D70" s="318">
        <v>0.33</v>
      </c>
      <c r="E70" s="318">
        <v>0.33</v>
      </c>
      <c r="F70" s="601"/>
      <c r="N70" s="685"/>
      <c r="O70" s="685"/>
      <c r="P70" s="685"/>
      <c r="Q70" s="685"/>
      <c r="R70" s="692"/>
      <c r="S70" s="692"/>
      <c r="T70" s="692"/>
      <c r="U70" s="692"/>
      <c r="V70" s="692"/>
      <c r="W70" s="692"/>
      <c r="X70" s="692"/>
      <c r="Y70" s="692"/>
      <c r="Z70" s="692"/>
      <c r="AA70" s="685"/>
      <c r="AB70" s="685"/>
      <c r="AC70" s="685"/>
      <c r="AD70" s="685"/>
      <c r="AE70" s="685"/>
      <c r="AF70" s="685"/>
      <c r="AG70" s="685"/>
      <c r="AH70" s="685"/>
      <c r="AI70" s="685"/>
      <c r="AJ70" s="685"/>
    </row>
    <row r="71" spans="1:36" s="174" customFormat="1" ht="17" hidden="1">
      <c r="A71" s="433"/>
      <c r="B71" s="314" t="s">
        <v>217</v>
      </c>
      <c r="C71" s="315" t="s">
        <v>197</v>
      </c>
      <c r="D71" s="319">
        <f>IF(D23="Exothermic",(D67/D70+D57),((D67+D57)/D70))</f>
        <v>0</v>
      </c>
      <c r="E71" s="319">
        <f>IF(E23="Exothermic",(E67/E70+E57),((E67+E57)/E70))</f>
        <v>0</v>
      </c>
      <c r="F71" s="601"/>
      <c r="N71" s="685"/>
      <c r="O71" s="685"/>
      <c r="P71" s="685"/>
      <c r="Q71" s="685"/>
      <c r="R71" s="692"/>
      <c r="S71" s="692"/>
      <c r="T71" s="692"/>
      <c r="U71" s="692"/>
      <c r="V71" s="692"/>
      <c r="W71" s="692"/>
      <c r="X71" s="692"/>
      <c r="Y71" s="692"/>
      <c r="Z71" s="692"/>
      <c r="AA71" s="685"/>
      <c r="AB71" s="685"/>
      <c r="AC71" s="685"/>
      <c r="AD71" s="685"/>
      <c r="AE71" s="685"/>
      <c r="AF71" s="685"/>
      <c r="AG71" s="685"/>
      <c r="AH71" s="685"/>
      <c r="AI71" s="685"/>
      <c r="AJ71" s="685"/>
    </row>
    <row r="72" spans="1:36" s="174" customFormat="1" ht="18" hidden="1" thickBot="1">
      <c r="A72" s="433"/>
      <c r="B72" s="320"/>
      <c r="C72" s="321" t="s">
        <v>110</v>
      </c>
      <c r="D72" s="322" t="e">
        <f>D71/D39</f>
        <v>#DIV/0!</v>
      </c>
      <c r="E72" s="322" t="e">
        <f>E71/E39</f>
        <v>#DIV/0!</v>
      </c>
      <c r="F72" s="602"/>
      <c r="N72" s="685"/>
      <c r="O72" s="685"/>
      <c r="P72" s="685"/>
      <c r="Q72" s="685"/>
      <c r="R72" s="692"/>
      <c r="S72" s="692"/>
      <c r="T72" s="692"/>
      <c r="U72" s="692"/>
      <c r="V72" s="692"/>
      <c r="W72" s="692"/>
      <c r="X72" s="692"/>
      <c r="Y72" s="692"/>
      <c r="Z72" s="692"/>
      <c r="AA72" s="685"/>
      <c r="AB72" s="685"/>
      <c r="AC72" s="685"/>
      <c r="AD72" s="685"/>
      <c r="AE72" s="685"/>
      <c r="AF72" s="685"/>
      <c r="AG72" s="685"/>
      <c r="AH72" s="685"/>
      <c r="AI72" s="685"/>
      <c r="AJ72" s="685"/>
    </row>
    <row r="73" spans="1:36" s="174" customFormat="1" hidden="1">
      <c r="A73" s="433"/>
      <c r="B73" s="156"/>
      <c r="C73" s="156"/>
      <c r="D73" s="156"/>
      <c r="E73" s="323" t="e">
        <f>E72/E40</f>
        <v>#DIV/0!</v>
      </c>
      <c r="F73" s="433"/>
      <c r="N73" s="685"/>
      <c r="O73" s="685"/>
      <c r="P73" s="685"/>
      <c r="Q73" s="685"/>
      <c r="R73" s="692"/>
      <c r="S73" s="692"/>
      <c r="T73" s="692"/>
      <c r="U73" s="692"/>
      <c r="V73" s="692"/>
      <c r="W73" s="692"/>
      <c r="X73" s="692"/>
      <c r="Y73" s="692"/>
      <c r="Z73" s="692"/>
      <c r="AA73" s="685"/>
      <c r="AB73" s="685"/>
      <c r="AC73" s="685"/>
      <c r="AD73" s="685"/>
      <c r="AE73" s="685"/>
      <c r="AF73" s="685"/>
      <c r="AG73" s="685"/>
      <c r="AH73" s="685"/>
      <c r="AI73" s="685"/>
      <c r="AJ73" s="685"/>
    </row>
    <row r="74" spans="1:36" s="174" customFormat="1" hidden="1">
      <c r="A74" s="433"/>
      <c r="B74" s="156"/>
      <c r="C74" s="156"/>
      <c r="D74" s="156"/>
      <c r="E74" s="156"/>
      <c r="F74" s="433"/>
      <c r="N74" s="685"/>
      <c r="O74" s="685"/>
      <c r="P74" s="685"/>
      <c r="Q74" s="685"/>
      <c r="R74" s="692"/>
      <c r="S74" s="692"/>
      <c r="T74" s="692"/>
      <c r="U74" s="692"/>
      <c r="V74" s="692"/>
      <c r="W74" s="692"/>
      <c r="X74" s="692"/>
      <c r="Y74" s="692"/>
      <c r="Z74" s="692"/>
      <c r="AA74" s="685"/>
      <c r="AB74" s="685"/>
      <c r="AC74" s="685"/>
      <c r="AD74" s="685"/>
      <c r="AE74" s="685"/>
      <c r="AF74" s="685"/>
      <c r="AG74" s="685"/>
      <c r="AH74" s="685"/>
      <c r="AI74" s="685"/>
      <c r="AJ74" s="685"/>
    </row>
    <row r="75" spans="1:36" s="174" customFormat="1" ht="17" hidden="1">
      <c r="A75" s="433"/>
      <c r="B75" s="156"/>
      <c r="C75" s="156"/>
      <c r="D75" s="156"/>
      <c r="E75" s="156"/>
      <c r="F75" s="433"/>
      <c r="G75" s="174" t="s">
        <v>36</v>
      </c>
      <c r="N75" s="685"/>
      <c r="O75" s="685"/>
      <c r="P75" s="685"/>
      <c r="Q75" s="685"/>
      <c r="R75" s="692"/>
      <c r="S75" s="692"/>
      <c r="T75" s="692"/>
      <c r="U75" s="692"/>
      <c r="V75" s="692"/>
      <c r="W75" s="692"/>
      <c r="X75" s="692"/>
      <c r="Y75" s="692"/>
      <c r="Z75" s="692"/>
      <c r="AA75" s="685"/>
      <c r="AB75" s="685"/>
      <c r="AC75" s="685"/>
      <c r="AD75" s="685"/>
      <c r="AE75" s="685"/>
      <c r="AF75" s="685"/>
      <c r="AG75" s="685"/>
      <c r="AH75" s="685"/>
      <c r="AI75" s="685"/>
      <c r="AJ75" s="685"/>
    </row>
    <row r="76" spans="1:36" s="174" customFormat="1" ht="17" hidden="1">
      <c r="A76" s="433"/>
      <c r="B76" s="156" t="s">
        <v>203</v>
      </c>
      <c r="C76" s="156" t="s">
        <v>114</v>
      </c>
      <c r="D76" s="156">
        <v>20000</v>
      </c>
      <c r="E76" s="156"/>
      <c r="F76" s="433"/>
      <c r="N76" s="685"/>
      <c r="O76" s="685"/>
      <c r="P76" s="685"/>
      <c r="Q76" s="685"/>
      <c r="R76" s="685"/>
      <c r="S76" s="685"/>
      <c r="T76" s="685"/>
      <c r="U76" s="685"/>
      <c r="V76" s="685"/>
      <c r="W76" s="685"/>
      <c r="X76" s="685"/>
      <c r="Y76" s="685"/>
      <c r="Z76" s="685"/>
      <c r="AA76" s="685"/>
      <c r="AB76" s="685"/>
      <c r="AC76" s="685"/>
      <c r="AD76" s="685"/>
      <c r="AE76" s="685"/>
      <c r="AF76" s="685"/>
      <c r="AG76" s="685"/>
      <c r="AH76" s="685"/>
      <c r="AI76" s="685"/>
      <c r="AJ76" s="685"/>
    </row>
    <row r="77" spans="1:36" s="174" customFormat="1" ht="17" hidden="1">
      <c r="A77" s="433"/>
      <c r="B77" s="156" t="s">
        <v>205</v>
      </c>
      <c r="C77" s="156" t="s">
        <v>114</v>
      </c>
      <c r="D77" s="156">
        <v>800</v>
      </c>
      <c r="E77" s="156">
        <v>20000</v>
      </c>
      <c r="F77" s="433"/>
      <c r="N77" s="685"/>
      <c r="O77" s="685"/>
      <c r="P77" s="685"/>
      <c r="Q77" s="685"/>
      <c r="R77" s="685"/>
      <c r="S77" s="685"/>
      <c r="T77" s="685"/>
      <c r="U77" s="685"/>
      <c r="V77" s="685"/>
      <c r="W77" s="685"/>
      <c r="X77" s="685"/>
      <c r="Y77" s="685"/>
      <c r="Z77" s="685"/>
      <c r="AA77" s="685"/>
      <c r="AB77" s="685"/>
      <c r="AC77" s="685"/>
      <c r="AD77" s="685"/>
      <c r="AE77" s="685"/>
      <c r="AF77" s="685"/>
      <c r="AG77" s="685"/>
      <c r="AH77" s="685"/>
      <c r="AI77" s="685"/>
      <c r="AJ77" s="685"/>
    </row>
    <row r="78" spans="1:36" s="174" customFormat="1" ht="17" hidden="1">
      <c r="A78" s="433"/>
      <c r="B78" s="156" t="s">
        <v>206</v>
      </c>
      <c r="C78" s="156" t="s">
        <v>114</v>
      </c>
      <c r="D78" s="156">
        <f>D76+D77</f>
        <v>20800</v>
      </c>
      <c r="E78" s="156">
        <v>800</v>
      </c>
      <c r="F78" s="433"/>
      <c r="N78" s="685"/>
      <c r="O78" s="685"/>
      <c r="P78" s="685"/>
      <c r="Q78" s="685"/>
      <c r="R78" s="685"/>
      <c r="S78" s="685"/>
      <c r="T78" s="685"/>
      <c r="U78" s="685"/>
      <c r="V78" s="685"/>
      <c r="W78" s="685"/>
      <c r="X78" s="685"/>
      <c r="Y78" s="685"/>
      <c r="Z78" s="685"/>
      <c r="AA78" s="685"/>
      <c r="AB78" s="685"/>
      <c r="AC78" s="685"/>
      <c r="AD78" s="685"/>
      <c r="AE78" s="685"/>
      <c r="AF78" s="685"/>
      <c r="AG78" s="685"/>
      <c r="AH78" s="685"/>
      <c r="AI78" s="685"/>
      <c r="AJ78" s="685"/>
    </row>
    <row r="79" spans="1:36" s="174" customFormat="1" ht="17" hidden="1">
      <c r="A79" s="433"/>
      <c r="B79" s="156" t="s">
        <v>207</v>
      </c>
      <c r="C79" s="156"/>
      <c r="D79" s="324">
        <f>D77/D78</f>
        <v>3.8461538461538464E-2</v>
      </c>
      <c r="E79" s="156">
        <f>E77+E78</f>
        <v>20800</v>
      </c>
      <c r="F79" s="433"/>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row>
    <row r="80" spans="1:36" s="174" customFormat="1" hidden="1">
      <c r="A80" s="433"/>
      <c r="B80" s="156"/>
      <c r="C80" s="156"/>
      <c r="D80" s="156"/>
      <c r="E80" s="324">
        <f>E78/E79</f>
        <v>3.8461538461538464E-2</v>
      </c>
      <c r="F80" s="433"/>
      <c r="N80" s="685"/>
      <c r="O80" s="685"/>
      <c r="P80" s="685"/>
      <c r="Q80" s="685"/>
      <c r="R80" s="685"/>
      <c r="S80" s="685"/>
      <c r="T80" s="685"/>
      <c r="U80" s="685"/>
      <c r="V80" s="685"/>
      <c r="W80" s="685"/>
      <c r="X80" s="685"/>
      <c r="Y80" s="685"/>
      <c r="Z80" s="685"/>
      <c r="AA80" s="685"/>
      <c r="AB80" s="685"/>
      <c r="AC80" s="685"/>
      <c r="AD80" s="685"/>
      <c r="AE80" s="685"/>
      <c r="AF80" s="685"/>
      <c r="AG80" s="685"/>
      <c r="AH80" s="685"/>
      <c r="AI80" s="685"/>
      <c r="AJ80" s="685"/>
    </row>
    <row r="81" spans="1:36" s="174" customFormat="1" ht="17" hidden="1">
      <c r="A81" s="433"/>
      <c r="B81" s="156" t="s">
        <v>246</v>
      </c>
      <c r="C81" s="156"/>
      <c r="D81" s="156"/>
      <c r="E81" s="156"/>
      <c r="F81" s="433"/>
      <c r="N81" s="685"/>
      <c r="O81" s="685"/>
      <c r="P81" s="685"/>
      <c r="Q81" s="685"/>
      <c r="R81" s="685"/>
      <c r="S81" s="685"/>
      <c r="T81" s="685"/>
      <c r="U81" s="685"/>
      <c r="V81" s="685"/>
      <c r="W81" s="685"/>
      <c r="X81" s="685"/>
      <c r="Y81" s="685"/>
      <c r="Z81" s="685"/>
      <c r="AA81" s="685"/>
      <c r="AB81" s="685"/>
      <c r="AC81" s="685"/>
      <c r="AD81" s="685"/>
      <c r="AE81" s="685"/>
      <c r="AF81" s="685"/>
      <c r="AG81" s="685"/>
      <c r="AH81" s="685"/>
      <c r="AI81" s="685"/>
      <c r="AJ81" s="685"/>
    </row>
    <row r="82" spans="1:36" s="174" customFormat="1" ht="17" hidden="1">
      <c r="A82" s="433"/>
      <c r="B82" s="156" t="s">
        <v>249</v>
      </c>
      <c r="C82" s="156"/>
      <c r="D82" s="156"/>
      <c r="E82" s="156"/>
      <c r="F82" s="433"/>
      <c r="N82" s="685"/>
      <c r="O82" s="685"/>
      <c r="P82" s="685"/>
      <c r="Q82" s="685"/>
      <c r="R82" s="685"/>
      <c r="S82" s="685"/>
      <c r="T82" s="685"/>
      <c r="U82" s="685"/>
      <c r="V82" s="685"/>
      <c r="W82" s="685"/>
      <c r="X82" s="685"/>
      <c r="Y82" s="685"/>
      <c r="Z82" s="685"/>
      <c r="AA82" s="685"/>
      <c r="AB82" s="685"/>
      <c r="AC82" s="685"/>
      <c r="AD82" s="685"/>
      <c r="AE82" s="685"/>
      <c r="AF82" s="685"/>
      <c r="AG82" s="685"/>
      <c r="AH82" s="685"/>
      <c r="AI82" s="685"/>
      <c r="AJ82" s="685"/>
    </row>
    <row r="83" spans="1:36" s="174" customFormat="1" ht="17" hidden="1">
      <c r="A83" s="433"/>
      <c r="B83" s="156" t="s">
        <v>248</v>
      </c>
      <c r="C83" s="156"/>
      <c r="D83" s="156"/>
      <c r="E83" s="156"/>
      <c r="F83" s="433"/>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row>
    <row r="84" spans="1:36" s="174" customFormat="1" ht="28.5" hidden="1" customHeight="1">
      <c r="A84" s="433"/>
      <c r="B84" s="156"/>
      <c r="C84" s="156"/>
      <c r="D84" s="156"/>
      <c r="E84" s="156"/>
      <c r="F84" s="433"/>
      <c r="N84" s="685"/>
      <c r="O84" s="685"/>
      <c r="P84" s="685"/>
      <c r="Q84" s="685"/>
      <c r="R84" s="685"/>
      <c r="S84" s="685"/>
      <c r="T84" s="685"/>
      <c r="U84" s="685"/>
      <c r="V84" s="685"/>
      <c r="W84" s="685"/>
      <c r="X84" s="685"/>
      <c r="Y84" s="685"/>
      <c r="Z84" s="685"/>
      <c r="AA84" s="685"/>
      <c r="AB84" s="685"/>
      <c r="AC84" s="685"/>
      <c r="AD84" s="685"/>
      <c r="AE84" s="685"/>
      <c r="AF84" s="685"/>
      <c r="AG84" s="685"/>
      <c r="AH84" s="685"/>
      <c r="AI84" s="685"/>
      <c r="AJ84" s="685"/>
    </row>
    <row r="85" spans="1:36" s="174" customFormat="1" ht="26.25" hidden="1" customHeight="1">
      <c r="A85" s="433"/>
      <c r="B85" s="156"/>
      <c r="C85" s="156"/>
      <c r="D85" s="156"/>
      <c r="E85" s="156"/>
      <c r="F85" s="433"/>
      <c r="N85" s="685"/>
      <c r="O85" s="685"/>
      <c r="P85" s="685"/>
      <c r="Q85" s="685"/>
      <c r="R85" s="685"/>
      <c r="S85" s="685"/>
      <c r="T85" s="685"/>
      <c r="U85" s="685"/>
      <c r="V85" s="685"/>
      <c r="W85" s="685"/>
      <c r="X85" s="685"/>
      <c r="Y85" s="685"/>
      <c r="Z85" s="685"/>
      <c r="AA85" s="685"/>
      <c r="AB85" s="685"/>
      <c r="AC85" s="685"/>
      <c r="AD85" s="685"/>
      <c r="AE85" s="685"/>
      <c r="AF85" s="685"/>
      <c r="AG85" s="685"/>
      <c r="AH85" s="685"/>
      <c r="AI85" s="685"/>
      <c r="AJ85" s="685"/>
    </row>
    <row r="86" spans="1:36" s="174" customFormat="1" ht="42" hidden="1" customHeight="1">
      <c r="A86" s="433"/>
      <c r="B86" s="156"/>
      <c r="C86" s="156"/>
      <c r="D86" s="156"/>
      <c r="E86" s="156"/>
      <c r="F86" s="433"/>
      <c r="N86" s="685"/>
      <c r="O86" s="685"/>
      <c r="P86" s="685"/>
      <c r="Q86" s="685"/>
      <c r="R86" s="685"/>
      <c r="S86" s="685"/>
      <c r="T86" s="685"/>
      <c r="U86" s="685"/>
      <c r="V86" s="685"/>
      <c r="W86" s="685"/>
      <c r="X86" s="685"/>
      <c r="Y86" s="685"/>
      <c r="Z86" s="685"/>
      <c r="AA86" s="685"/>
      <c r="AB86" s="685"/>
      <c r="AC86" s="685"/>
      <c r="AD86" s="685"/>
      <c r="AE86" s="685"/>
      <c r="AF86" s="685"/>
      <c r="AG86" s="685"/>
      <c r="AH86" s="685"/>
      <c r="AI86" s="685"/>
      <c r="AJ86" s="685"/>
    </row>
    <row r="87" spans="1:36" s="176" customFormat="1" ht="27.75" hidden="1" customHeight="1">
      <c r="A87" s="603"/>
      <c r="B87" s="325"/>
      <c r="C87" s="325"/>
      <c r="D87" s="325"/>
      <c r="E87" s="325"/>
      <c r="F87" s="603"/>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685"/>
    </row>
    <row r="88" spans="1:36" s="176" customFormat="1" hidden="1">
      <c r="A88" s="603"/>
      <c r="B88" s="325"/>
      <c r="C88" s="325"/>
      <c r="D88" s="325"/>
      <c r="E88" s="325"/>
      <c r="F88" s="603"/>
      <c r="N88" s="685"/>
      <c r="O88" s="685"/>
      <c r="P88" s="685"/>
      <c r="Q88" s="685"/>
      <c r="R88" s="685"/>
      <c r="S88" s="685"/>
      <c r="T88" s="685"/>
      <c r="U88" s="685"/>
      <c r="V88" s="685"/>
      <c r="W88" s="685"/>
      <c r="X88" s="685"/>
      <c r="Y88" s="685"/>
      <c r="Z88" s="685"/>
      <c r="AA88" s="685"/>
      <c r="AB88" s="685"/>
      <c r="AC88" s="685"/>
      <c r="AD88" s="685"/>
      <c r="AE88" s="685"/>
      <c r="AF88" s="685"/>
      <c r="AG88" s="685"/>
      <c r="AH88" s="685"/>
      <c r="AI88" s="685"/>
      <c r="AJ88" s="685"/>
    </row>
    <row r="89" spans="1:36" s="176" customFormat="1" hidden="1">
      <c r="A89" s="603"/>
      <c r="B89" s="325"/>
      <c r="C89" s="325"/>
      <c r="D89" s="325"/>
      <c r="E89" s="325"/>
      <c r="F89" s="603"/>
      <c r="N89" s="685"/>
      <c r="O89" s="685"/>
      <c r="P89" s="685"/>
      <c r="Q89" s="685"/>
      <c r="R89" s="685"/>
      <c r="S89" s="685"/>
      <c r="T89" s="685"/>
      <c r="U89" s="685"/>
      <c r="V89" s="685"/>
      <c r="W89" s="685"/>
      <c r="X89" s="685"/>
      <c r="Y89" s="685"/>
      <c r="Z89" s="685"/>
      <c r="AA89" s="685"/>
      <c r="AB89" s="685"/>
      <c r="AC89" s="685"/>
      <c r="AD89" s="685"/>
      <c r="AE89" s="685"/>
      <c r="AF89" s="685"/>
      <c r="AG89" s="685"/>
      <c r="AH89" s="685"/>
      <c r="AI89" s="685"/>
      <c r="AJ89" s="685"/>
    </row>
    <row r="90" spans="1:36" s="176" customFormat="1" hidden="1">
      <c r="A90" s="603"/>
      <c r="B90" s="325"/>
      <c r="C90" s="325"/>
      <c r="D90" s="325"/>
      <c r="E90" s="325"/>
      <c r="F90" s="603"/>
      <c r="N90" s="685"/>
      <c r="O90" s="685"/>
      <c r="P90" s="685"/>
      <c r="Q90" s="685"/>
      <c r="R90" s="685"/>
      <c r="S90" s="685"/>
      <c r="T90" s="685"/>
      <c r="U90" s="685"/>
      <c r="V90" s="685"/>
      <c r="W90" s="685"/>
      <c r="X90" s="685"/>
      <c r="Y90" s="685"/>
      <c r="Z90" s="685"/>
      <c r="AA90" s="685"/>
      <c r="AB90" s="685"/>
      <c r="AC90" s="685"/>
      <c r="AD90" s="685"/>
      <c r="AE90" s="685"/>
      <c r="AF90" s="685"/>
      <c r="AG90" s="685"/>
      <c r="AH90" s="685"/>
      <c r="AI90" s="685"/>
      <c r="AJ90" s="685"/>
    </row>
    <row r="91" spans="1:36" s="176" customFormat="1" hidden="1">
      <c r="A91" s="603"/>
      <c r="B91" s="325"/>
      <c r="C91" s="325"/>
      <c r="D91" s="325"/>
      <c r="E91" s="325"/>
      <c r="F91" s="603"/>
      <c r="N91" s="685"/>
      <c r="O91" s="685"/>
      <c r="P91" s="685"/>
      <c r="Q91" s="685"/>
      <c r="R91" s="685"/>
      <c r="S91" s="685"/>
      <c r="T91" s="685"/>
      <c r="U91" s="685"/>
      <c r="V91" s="685"/>
      <c r="W91" s="685"/>
      <c r="X91" s="685"/>
      <c r="Y91" s="685"/>
      <c r="Z91" s="685"/>
      <c r="AA91" s="685"/>
      <c r="AB91" s="685"/>
      <c r="AC91" s="685"/>
      <c r="AD91" s="685"/>
      <c r="AE91" s="685"/>
      <c r="AF91" s="685"/>
      <c r="AG91" s="685"/>
      <c r="AH91" s="685"/>
      <c r="AI91" s="685"/>
      <c r="AJ91" s="685"/>
    </row>
    <row r="92" spans="1:36" s="176" customFormat="1" hidden="1">
      <c r="A92" s="603"/>
      <c r="B92" s="325"/>
      <c r="C92" s="325"/>
      <c r="D92" s="325"/>
      <c r="E92" s="325"/>
      <c r="F92" s="603"/>
      <c r="N92" s="685"/>
      <c r="O92" s="685"/>
      <c r="P92" s="685"/>
      <c r="Q92" s="685"/>
      <c r="R92" s="685"/>
      <c r="S92" s="685"/>
      <c r="T92" s="685"/>
      <c r="U92" s="685"/>
      <c r="V92" s="685"/>
      <c r="W92" s="685"/>
      <c r="X92" s="685"/>
      <c r="Y92" s="685"/>
      <c r="Z92" s="685"/>
      <c r="AA92" s="685"/>
      <c r="AB92" s="685"/>
      <c r="AC92" s="685"/>
      <c r="AD92" s="685"/>
      <c r="AE92" s="685"/>
      <c r="AF92" s="685"/>
      <c r="AG92" s="685"/>
      <c r="AH92" s="685"/>
      <c r="AI92" s="685"/>
      <c r="AJ92" s="685"/>
    </row>
    <row r="93" spans="1:36" s="176" customFormat="1" hidden="1">
      <c r="A93" s="603"/>
      <c r="B93" s="325"/>
      <c r="C93" s="325"/>
      <c r="D93" s="325"/>
      <c r="E93" s="325"/>
      <c r="F93" s="603"/>
      <c r="N93" s="685"/>
      <c r="O93" s="685"/>
      <c r="P93" s="685"/>
      <c r="Q93" s="685"/>
      <c r="R93" s="685"/>
      <c r="S93" s="685"/>
      <c r="T93" s="685"/>
      <c r="U93" s="685"/>
      <c r="V93" s="685"/>
      <c r="W93" s="685"/>
      <c r="X93" s="685"/>
      <c r="Y93" s="685"/>
      <c r="Z93" s="685"/>
      <c r="AA93" s="685"/>
      <c r="AB93" s="685"/>
      <c r="AC93" s="685"/>
      <c r="AD93" s="685"/>
      <c r="AE93" s="685"/>
      <c r="AF93" s="685"/>
      <c r="AG93" s="685"/>
      <c r="AH93" s="685"/>
      <c r="AI93" s="685"/>
      <c r="AJ93" s="685"/>
    </row>
    <row r="94" spans="1:36" s="176" customFormat="1" hidden="1">
      <c r="A94" s="603"/>
      <c r="B94" s="325"/>
      <c r="C94" s="325"/>
      <c r="D94" s="325"/>
      <c r="E94" s="325"/>
      <c r="F94" s="603"/>
      <c r="N94" s="685"/>
      <c r="O94" s="685"/>
      <c r="P94" s="685"/>
      <c r="Q94" s="685"/>
      <c r="R94" s="685"/>
      <c r="S94" s="685"/>
      <c r="T94" s="685"/>
      <c r="U94" s="685"/>
      <c r="V94" s="685"/>
      <c r="W94" s="685"/>
      <c r="X94" s="685"/>
      <c r="Y94" s="685"/>
      <c r="Z94" s="685"/>
      <c r="AA94" s="685"/>
      <c r="AB94" s="685"/>
      <c r="AC94" s="685"/>
      <c r="AD94" s="685"/>
      <c r="AE94" s="685"/>
      <c r="AF94" s="685"/>
      <c r="AG94" s="685"/>
      <c r="AH94" s="685"/>
      <c r="AI94" s="685"/>
      <c r="AJ94" s="685"/>
    </row>
    <row r="95" spans="1:36" s="176" customFormat="1" hidden="1">
      <c r="A95" s="603"/>
      <c r="B95" s="325"/>
      <c r="C95" s="325"/>
      <c r="D95" s="325"/>
      <c r="E95" s="325"/>
      <c r="F95" s="603"/>
      <c r="N95" s="685"/>
      <c r="O95" s="685"/>
      <c r="P95" s="685"/>
      <c r="Q95" s="685"/>
      <c r="R95" s="685"/>
      <c r="S95" s="685"/>
      <c r="T95" s="685"/>
      <c r="U95" s="685"/>
      <c r="V95" s="685"/>
      <c r="W95" s="685"/>
      <c r="X95" s="685"/>
      <c r="Y95" s="685"/>
      <c r="Z95" s="685"/>
      <c r="AA95" s="685"/>
      <c r="AB95" s="685"/>
      <c r="AC95" s="685"/>
      <c r="AD95" s="685"/>
      <c r="AE95" s="685"/>
      <c r="AF95" s="685"/>
      <c r="AG95" s="685"/>
      <c r="AH95" s="685"/>
      <c r="AI95" s="685"/>
      <c r="AJ95" s="685"/>
    </row>
    <row r="96" spans="1:36" s="176" customFormat="1" hidden="1">
      <c r="A96" s="603"/>
      <c r="F96" s="603"/>
      <c r="N96" s="685"/>
      <c r="O96" s="685"/>
      <c r="P96" s="685"/>
      <c r="Q96" s="685"/>
      <c r="R96" s="685"/>
      <c r="S96" s="685"/>
      <c r="T96" s="685"/>
      <c r="U96" s="685"/>
      <c r="V96" s="685"/>
      <c r="W96" s="685"/>
      <c r="X96" s="685"/>
      <c r="Y96" s="685"/>
      <c r="Z96" s="685"/>
      <c r="AA96" s="685"/>
      <c r="AB96" s="685"/>
      <c r="AC96" s="685"/>
      <c r="AD96" s="685"/>
      <c r="AE96" s="685"/>
      <c r="AF96" s="685"/>
      <c r="AG96" s="685"/>
      <c r="AH96" s="685"/>
      <c r="AI96" s="685"/>
      <c r="AJ96" s="685"/>
    </row>
    <row r="97" spans="1:36" s="176" customFormat="1" hidden="1">
      <c r="A97" s="603"/>
      <c r="F97" s="603"/>
      <c r="N97" s="685"/>
      <c r="O97" s="685"/>
      <c r="P97" s="685"/>
      <c r="Q97" s="685"/>
      <c r="R97" s="685"/>
      <c r="S97" s="685"/>
      <c r="T97" s="685"/>
      <c r="U97" s="685"/>
      <c r="V97" s="685"/>
      <c r="W97" s="685"/>
      <c r="X97" s="685"/>
      <c r="Y97" s="685"/>
      <c r="Z97" s="685"/>
      <c r="AA97" s="685"/>
      <c r="AB97" s="685"/>
      <c r="AC97" s="685"/>
      <c r="AD97" s="685"/>
      <c r="AE97" s="685"/>
      <c r="AF97" s="685"/>
      <c r="AG97" s="685"/>
      <c r="AH97" s="685"/>
      <c r="AI97" s="685"/>
      <c r="AJ97" s="685"/>
    </row>
    <row r="155" spans="15:15" hidden="1">
      <c r="O155" s="699" t="s">
        <v>133</v>
      </c>
    </row>
  </sheetData>
  <mergeCells count="7">
    <mergeCell ref="F13:F15"/>
    <mergeCell ref="B12:E12"/>
    <mergeCell ref="B5:E5"/>
    <mergeCell ref="D6:D7"/>
    <mergeCell ref="E6:E7"/>
    <mergeCell ref="C6:C7"/>
    <mergeCell ref="B6:B7"/>
  </mergeCells>
  <dataValidations count="2">
    <dataValidation type="list" allowBlank="1" showInputMessage="1" showErrorMessage="1" sqref="C13" xr:uid="{00000000-0002-0000-0B00-000000000000}">
      <formula1>"lbs./hr.,kg./hr.,tons/hr."</formula1>
    </dataValidation>
    <dataValidation type="list" allowBlank="1" showInputMessage="1" showErrorMessage="1" sqref="D6:E6" xr:uid="{30B715A1-B45C-4418-8034-4C5CCD154DFB}">
      <formula1>$O$5:$O$45</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A1:AJ49"/>
  <sheetViews>
    <sheetView workbookViewId="0"/>
  </sheetViews>
  <sheetFormatPr baseColWidth="10" defaultColWidth="0" defaultRowHeight="16" zeroHeight="1"/>
  <cols>
    <col min="1" max="1" width="9" style="373" customWidth="1"/>
    <col min="2" max="2" width="43.6640625" customWidth="1"/>
    <col min="3" max="3" width="13.1640625" customWidth="1"/>
    <col min="4" max="4" width="13.6640625" customWidth="1"/>
    <col min="5" max="5" width="12.5" customWidth="1"/>
    <col min="6" max="6" width="9" style="373" customWidth="1"/>
    <col min="7" max="7" width="21.6640625" style="373" customWidth="1"/>
    <col min="8" max="8" width="6.1640625" hidden="1" customWidth="1"/>
    <col min="9" max="13" width="9" hidden="1" customWidth="1"/>
    <col min="14" max="14" width="8" style="702" hidden="1" customWidth="1"/>
    <col min="15" max="15" width="26.1640625" style="702" hidden="1" customWidth="1"/>
    <col min="16" max="36" width="8" style="702" hidden="1" customWidth="1"/>
    <col min="37" max="16384" width="9" hidden="1"/>
  </cols>
  <sheetData>
    <row r="1" spans="2:36" s="373" customFormat="1">
      <c r="N1" s="702"/>
      <c r="O1" s="702"/>
      <c r="P1" s="702"/>
      <c r="Q1" s="702"/>
      <c r="R1" s="702"/>
      <c r="S1" s="702"/>
      <c r="T1" s="702"/>
      <c r="U1" s="702"/>
      <c r="V1" s="702"/>
      <c r="W1" s="702"/>
      <c r="X1" s="702"/>
      <c r="Y1" s="702"/>
      <c r="Z1" s="702"/>
      <c r="AA1" s="702"/>
      <c r="AB1" s="702"/>
      <c r="AC1" s="702"/>
      <c r="AD1" s="702"/>
      <c r="AE1" s="702"/>
      <c r="AF1" s="702"/>
      <c r="AG1" s="702"/>
      <c r="AH1" s="702"/>
      <c r="AI1" s="702"/>
      <c r="AJ1" s="702"/>
    </row>
    <row r="2" spans="2:36" s="373" customFormat="1">
      <c r="N2" s="702"/>
      <c r="O2" s="702"/>
      <c r="P2" s="702"/>
      <c r="Q2" s="702"/>
      <c r="R2" s="702"/>
      <c r="S2" s="702"/>
      <c r="T2" s="702"/>
      <c r="U2" s="702"/>
      <c r="V2" s="702"/>
      <c r="W2" s="702"/>
      <c r="X2" s="702"/>
      <c r="Y2" s="702"/>
      <c r="Z2" s="702"/>
      <c r="AA2" s="702"/>
      <c r="AB2" s="702"/>
      <c r="AC2" s="702"/>
      <c r="AD2" s="702" t="s">
        <v>1538</v>
      </c>
      <c r="AE2" s="702">
        <v>8.345E-3</v>
      </c>
      <c r="AF2" s="702" t="s">
        <v>1539</v>
      </c>
      <c r="AG2" s="702"/>
      <c r="AH2" s="702"/>
      <c r="AI2" s="702"/>
      <c r="AJ2" s="702"/>
    </row>
    <row r="3" spans="2:36" s="373" customFormat="1" ht="27" customHeight="1" thickBot="1">
      <c r="N3" s="703" t="s">
        <v>92</v>
      </c>
      <c r="O3" s="703" t="s">
        <v>93</v>
      </c>
      <c r="P3" s="703" t="s">
        <v>94</v>
      </c>
      <c r="Q3" s="703" t="s">
        <v>95</v>
      </c>
      <c r="R3" s="703" t="s">
        <v>1540</v>
      </c>
      <c r="S3" s="703" t="s">
        <v>1512</v>
      </c>
      <c r="T3" s="703" t="s">
        <v>367</v>
      </c>
      <c r="U3" s="703" t="s">
        <v>1513</v>
      </c>
      <c r="V3" s="703" t="s">
        <v>142</v>
      </c>
      <c r="W3" s="703" t="s">
        <v>96</v>
      </c>
      <c r="X3" s="703" t="s">
        <v>1514</v>
      </c>
      <c r="Y3" s="703" t="s">
        <v>143</v>
      </c>
      <c r="Z3" s="703" t="s">
        <v>144</v>
      </c>
      <c r="AA3" s="703" t="s">
        <v>97</v>
      </c>
      <c r="AB3" s="703" t="s">
        <v>1537</v>
      </c>
      <c r="AC3" s="702"/>
      <c r="AD3" s="702">
        <v>1000</v>
      </c>
      <c r="AE3" s="702">
        <f>AD3*AE2</f>
        <v>8.3450000000000006</v>
      </c>
      <c r="AF3" s="702"/>
      <c r="AG3" s="702"/>
      <c r="AH3" s="702"/>
      <c r="AI3" s="702"/>
      <c r="AJ3" s="702"/>
    </row>
    <row r="4" spans="2:36" ht="18" thickBot="1">
      <c r="B4" s="710" t="s">
        <v>271</v>
      </c>
      <c r="C4" s="711"/>
      <c r="D4" s="712" t="s">
        <v>99</v>
      </c>
      <c r="E4" s="713" t="s">
        <v>100</v>
      </c>
      <c r="F4" s="597"/>
      <c r="R4" s="702">
        <f>16.02</f>
        <v>16.02</v>
      </c>
      <c r="S4" s="702">
        <v>4.1870000000000003</v>
      </c>
      <c r="T4" s="702">
        <v>2.3260000000000001</v>
      </c>
      <c r="U4" s="702">
        <f>S4</f>
        <v>4.1870000000000003</v>
      </c>
      <c r="V4" s="702" t="s">
        <v>101</v>
      </c>
      <c r="W4" s="702" t="s">
        <v>101</v>
      </c>
      <c r="X4" s="702">
        <v>2.3260000000000001</v>
      </c>
      <c r="Y4" s="702">
        <f>X4</f>
        <v>2.3260000000000001</v>
      </c>
      <c r="Z4" s="702">
        <f>Y4</f>
        <v>2.3260000000000001</v>
      </c>
      <c r="AB4" s="703"/>
      <c r="AC4" s="703"/>
      <c r="AD4" s="703"/>
      <c r="AE4" s="703"/>
      <c r="AF4" s="703"/>
      <c r="AG4" s="703"/>
      <c r="AH4" s="703"/>
      <c r="AI4" s="703"/>
      <c r="AJ4" s="703"/>
    </row>
    <row r="5" spans="2:36" ht="17" thickBot="1">
      <c r="B5" s="1144" t="s">
        <v>251</v>
      </c>
      <c r="C5" s="1145"/>
      <c r="D5" s="1145"/>
      <c r="E5" s="1146"/>
      <c r="F5" s="597"/>
      <c r="N5" s="702">
        <v>41</v>
      </c>
      <c r="O5" s="702" t="s">
        <v>1515</v>
      </c>
      <c r="P5" s="702" t="s">
        <v>251</v>
      </c>
      <c r="R5" s="702">
        <f>AB5*$AE$2</f>
        <v>7.0932500000000003</v>
      </c>
      <c r="S5" s="704">
        <f>AC5/$S$4</f>
        <v>0.65010747551946502</v>
      </c>
      <c r="T5" s="704">
        <f>AD5/$T$4</f>
        <v>0</v>
      </c>
      <c r="U5" s="811">
        <f>AE5/$U$4</f>
        <v>0</v>
      </c>
      <c r="V5" s="705">
        <f>AF5*1.8+32</f>
        <v>899.99600000000009</v>
      </c>
      <c r="W5" s="702">
        <f>AG5*1.8+32</f>
        <v>-4.0000000000048885E-3</v>
      </c>
      <c r="X5" s="702">
        <f>AH5/$X$4</f>
        <v>0</v>
      </c>
      <c r="Y5" s="702">
        <f>AI5/$Y$4</f>
        <v>0</v>
      </c>
      <c r="Z5" s="702">
        <f>AJ5/$Z$4</f>
        <v>0</v>
      </c>
      <c r="AA5" s="702" t="b">
        <v>0</v>
      </c>
      <c r="AB5" s="706">
        <v>850</v>
      </c>
      <c r="AC5" s="706">
        <v>2.722</v>
      </c>
      <c r="AD5" s="706">
        <v>0</v>
      </c>
      <c r="AE5" s="706">
        <v>0</v>
      </c>
      <c r="AF5" s="706">
        <v>482.22</v>
      </c>
      <c r="AG5" s="706">
        <v>-17.78</v>
      </c>
      <c r="AH5" s="706">
        <v>0</v>
      </c>
      <c r="AI5" s="706">
        <v>0</v>
      </c>
      <c r="AJ5" s="706">
        <f>AT5/$Z$4</f>
        <v>0</v>
      </c>
    </row>
    <row r="6" spans="2:36" ht="78.75" customHeight="1">
      <c r="B6" s="709" t="s">
        <v>1593</v>
      </c>
      <c r="C6" s="714"/>
      <c r="D6" s="715" t="s">
        <v>1515</v>
      </c>
      <c r="E6" s="716" t="s">
        <v>1515</v>
      </c>
      <c r="F6" s="597"/>
      <c r="N6" s="702">
        <v>42</v>
      </c>
      <c r="O6" s="702" t="s">
        <v>1516</v>
      </c>
      <c r="P6" s="702" t="s">
        <v>251</v>
      </c>
      <c r="R6" s="702">
        <f t="shared" ref="R6:R18" si="0">AB6*$AE$2</f>
        <v>8.3450000000000006</v>
      </c>
      <c r="S6" s="704">
        <f t="shared" ref="S6:S18" si="1">AC6/$S$4</f>
        <v>1</v>
      </c>
      <c r="T6" s="702">
        <f t="shared" ref="T6:T18" si="2">AD6/$T$4</f>
        <v>970.30008598452287</v>
      </c>
      <c r="U6" s="704">
        <f t="shared" ref="U6:U18" si="3">AE6/$U$4</f>
        <v>0.47002627179364698</v>
      </c>
      <c r="V6" s="705">
        <f t="shared" ref="V6:W18" si="4">AF6*1.8+32</f>
        <v>212</v>
      </c>
      <c r="W6" s="702">
        <f t="shared" si="4"/>
        <v>-4.0000000000048885E-3</v>
      </c>
      <c r="X6" s="702">
        <f t="shared" ref="X6:X18" si="5">AH6/$X$4</f>
        <v>0</v>
      </c>
      <c r="Y6" s="702">
        <f t="shared" ref="Y6:Y18" si="6">AI6/$Y$4</f>
        <v>0</v>
      </c>
      <c r="Z6" s="702">
        <f t="shared" ref="Z6:Z18" si="7">AJ6/$Z$4</f>
        <v>0</v>
      </c>
      <c r="AA6" s="702" t="b">
        <v>0</v>
      </c>
      <c r="AB6" s="706">
        <v>1000</v>
      </c>
      <c r="AC6" s="706">
        <v>4.1870000000000003</v>
      </c>
      <c r="AD6" s="706">
        <v>2256.9180000000001</v>
      </c>
      <c r="AE6" s="706">
        <v>1.968</v>
      </c>
      <c r="AF6" s="706">
        <v>100</v>
      </c>
      <c r="AG6" s="706">
        <v>-17.78</v>
      </c>
      <c r="AH6" s="706">
        <v>0</v>
      </c>
      <c r="AI6" s="706">
        <v>0</v>
      </c>
      <c r="AJ6" s="706">
        <v>0</v>
      </c>
    </row>
    <row r="7" spans="2:36" ht="17">
      <c r="B7" s="717" t="s">
        <v>253</v>
      </c>
      <c r="C7" s="718" t="s">
        <v>734</v>
      </c>
      <c r="D7" s="745">
        <f>IF(D$6="Other",K13,VLOOKUP($D6,$O$5:$AA$44,5,))</f>
        <v>0.65010747551946502</v>
      </c>
      <c r="E7" s="719">
        <f>IF(E$6="Other",L13,VLOOKUP($E6,$O$5:$AA$44,5,FALSE))</f>
        <v>0.65010747551946502</v>
      </c>
      <c r="F7" s="597"/>
      <c r="N7" s="702">
        <v>43</v>
      </c>
      <c r="O7" s="702" t="s">
        <v>384</v>
      </c>
      <c r="P7" s="702" t="s">
        <v>251</v>
      </c>
      <c r="R7" s="702">
        <v>8.31</v>
      </c>
      <c r="S7" s="704">
        <f t="shared" si="1"/>
        <v>1.0499164079293049</v>
      </c>
      <c r="T7" s="702">
        <f t="shared" si="2"/>
        <v>868</v>
      </c>
      <c r="U7" s="704">
        <f t="shared" si="3"/>
        <v>0.540004776689754</v>
      </c>
      <c r="V7" s="705">
        <f t="shared" si="4"/>
        <v>365</v>
      </c>
      <c r="W7" s="702">
        <f t="shared" si="4"/>
        <v>-4.0000000000048885E-3</v>
      </c>
      <c r="X7" s="702">
        <f t="shared" si="5"/>
        <v>0</v>
      </c>
      <c r="Y7" s="702">
        <f t="shared" si="6"/>
        <v>0</v>
      </c>
      <c r="Z7" s="702">
        <f t="shared" si="7"/>
        <v>0</v>
      </c>
      <c r="AA7" s="702" t="b">
        <v>0</v>
      </c>
      <c r="AB7" s="706">
        <v>0</v>
      </c>
      <c r="AC7" s="706">
        <v>4.3959999999999999</v>
      </c>
      <c r="AD7" s="706">
        <v>2018.9680000000001</v>
      </c>
      <c r="AE7" s="706">
        <v>2.2610000000000001</v>
      </c>
      <c r="AF7" s="706">
        <v>185</v>
      </c>
      <c r="AG7" s="706">
        <v>-17.78</v>
      </c>
      <c r="AH7" s="706">
        <v>0</v>
      </c>
      <c r="AI7" s="706">
        <v>0</v>
      </c>
      <c r="AJ7" s="706">
        <v>0</v>
      </c>
    </row>
    <row r="8" spans="2:36">
      <c r="B8" s="720" t="s">
        <v>675</v>
      </c>
      <c r="C8" s="721" t="s">
        <v>676</v>
      </c>
      <c r="D8" s="818">
        <f>IF(D$6="Other",K13,VLOOKUP($D6,$O$5:$AA$44,4,))</f>
        <v>7.0932500000000003</v>
      </c>
      <c r="E8" s="819">
        <f>IF(E$6="Other",L13,VLOOKUP($E6,$O$5:$AA$44,4,FALSE))</f>
        <v>7.0932500000000003</v>
      </c>
      <c r="F8" s="597"/>
      <c r="N8" s="702">
        <v>44</v>
      </c>
      <c r="O8" s="702" t="s">
        <v>368</v>
      </c>
      <c r="P8" s="702" t="s">
        <v>251</v>
      </c>
      <c r="R8" s="702">
        <f t="shared" si="0"/>
        <v>8.7539049999999996</v>
      </c>
      <c r="S8" s="704">
        <f t="shared" si="1"/>
        <v>0.50991163123955086</v>
      </c>
      <c r="T8" s="702">
        <f t="shared" si="2"/>
        <v>174</v>
      </c>
      <c r="U8" s="704">
        <f t="shared" si="3"/>
        <v>0.40004776689754001</v>
      </c>
      <c r="V8" s="705">
        <f t="shared" si="4"/>
        <v>244.4</v>
      </c>
      <c r="W8" s="702">
        <f t="shared" si="4"/>
        <v>-4.0000000000048885E-3</v>
      </c>
      <c r="X8" s="702">
        <f t="shared" si="5"/>
        <v>0</v>
      </c>
      <c r="Y8" s="702">
        <f t="shared" si="6"/>
        <v>0</v>
      </c>
      <c r="Z8" s="702">
        <f t="shared" si="7"/>
        <v>0</v>
      </c>
      <c r="AA8" s="702" t="b">
        <v>0</v>
      </c>
      <c r="AB8" s="706">
        <v>1049</v>
      </c>
      <c r="AC8" s="706">
        <v>2.1349999999999998</v>
      </c>
      <c r="AD8" s="706">
        <v>404.72399999999999</v>
      </c>
      <c r="AE8" s="706">
        <v>1.675</v>
      </c>
      <c r="AF8" s="706">
        <v>118</v>
      </c>
      <c r="AG8" s="706">
        <v>-17.78</v>
      </c>
      <c r="AH8" s="706">
        <v>0</v>
      </c>
      <c r="AI8" s="706">
        <v>0</v>
      </c>
      <c r="AJ8" s="706">
        <v>0</v>
      </c>
    </row>
    <row r="9" spans="2:36" ht="17">
      <c r="B9" s="717" t="s">
        <v>254</v>
      </c>
      <c r="C9" s="718" t="s">
        <v>255</v>
      </c>
      <c r="D9" s="746">
        <f>IF(D$6="Other",K14,VLOOKUP($D$6,$O$5:$AA$44,8,))</f>
        <v>899.99600000000009</v>
      </c>
      <c r="E9" s="722">
        <f>IF(E$6="Other",L14,VLOOKUP($E$6,$O$5:$AA$44,8,))</f>
        <v>899.99600000000009</v>
      </c>
      <c r="F9" s="597"/>
      <c r="N9" s="702">
        <v>45</v>
      </c>
      <c r="O9" s="702" t="s">
        <v>369</v>
      </c>
      <c r="P9" s="702" t="s">
        <v>251</v>
      </c>
      <c r="R9" s="702">
        <f t="shared" si="0"/>
        <v>6.5474870000000003</v>
      </c>
      <c r="S9" s="704">
        <f t="shared" si="1"/>
        <v>0.34702651062813472</v>
      </c>
      <c r="T9" s="702">
        <f t="shared" si="2"/>
        <v>239</v>
      </c>
      <c r="U9" s="704">
        <f t="shared" si="3"/>
        <v>0.40004776689754001</v>
      </c>
      <c r="V9" s="705">
        <f t="shared" si="4"/>
        <v>129.99200000000002</v>
      </c>
      <c r="W9" s="702">
        <f t="shared" si="4"/>
        <v>-4.0000000000048885E-3</v>
      </c>
      <c r="X9" s="702">
        <f t="shared" si="5"/>
        <v>0</v>
      </c>
      <c r="Y9" s="702">
        <f t="shared" si="6"/>
        <v>0</v>
      </c>
      <c r="Z9" s="702">
        <f t="shared" si="7"/>
        <v>0</v>
      </c>
      <c r="AA9" s="702" t="b">
        <v>0</v>
      </c>
      <c r="AB9" s="706">
        <v>784.6</v>
      </c>
      <c r="AC9" s="706">
        <v>1.4530000000000001</v>
      </c>
      <c r="AD9" s="706">
        <v>555.91399999999999</v>
      </c>
      <c r="AE9" s="706">
        <v>1.675</v>
      </c>
      <c r="AF9" s="706">
        <v>54.44</v>
      </c>
      <c r="AG9" s="706">
        <v>-17.78</v>
      </c>
      <c r="AH9" s="706">
        <v>0</v>
      </c>
      <c r="AI9" s="706">
        <v>0</v>
      </c>
      <c r="AJ9" s="706">
        <v>0</v>
      </c>
    </row>
    <row r="10" spans="2:36" ht="17">
      <c r="B10" s="717" t="s">
        <v>256</v>
      </c>
      <c r="C10" s="718" t="s">
        <v>110</v>
      </c>
      <c r="D10" s="747">
        <f>IF(D$6="Other",K15,VLOOKUP($D$6,$O$5:$AA$44,6,))</f>
        <v>0</v>
      </c>
      <c r="E10" s="723">
        <f>IF(E$6="Other",L15,VLOOKUP($E$6,$O$5:$AA$44,6,))</f>
        <v>0</v>
      </c>
      <c r="F10" s="597"/>
      <c r="N10" s="702">
        <v>46</v>
      </c>
      <c r="O10" s="702" t="s">
        <v>370</v>
      </c>
      <c r="P10" s="702" t="s">
        <v>251</v>
      </c>
      <c r="R10" s="702">
        <f t="shared" si="0"/>
        <v>6.5516595000000004</v>
      </c>
      <c r="S10" s="704">
        <f t="shared" si="1"/>
        <v>0.64795796513016479</v>
      </c>
      <c r="T10" s="702">
        <f t="shared" si="2"/>
        <v>369</v>
      </c>
      <c r="U10" s="704">
        <f t="shared" si="3"/>
        <v>0.44996417482684492</v>
      </c>
      <c r="V10" s="705">
        <f t="shared" si="4"/>
        <v>172.00400000000002</v>
      </c>
      <c r="W10" s="702">
        <f t="shared" si="4"/>
        <v>-4.0000000000048885E-3</v>
      </c>
      <c r="X10" s="702">
        <f t="shared" si="5"/>
        <v>0</v>
      </c>
      <c r="Y10" s="702">
        <f t="shared" si="6"/>
        <v>0</v>
      </c>
      <c r="Z10" s="702">
        <f t="shared" si="7"/>
        <v>0</v>
      </c>
      <c r="AA10" s="702" t="b">
        <v>0</v>
      </c>
      <c r="AB10" s="706">
        <v>785.1</v>
      </c>
      <c r="AC10" s="706">
        <v>2.7130000000000001</v>
      </c>
      <c r="AD10" s="706">
        <v>858.29399999999998</v>
      </c>
      <c r="AE10" s="706">
        <v>1.8839999999999999</v>
      </c>
      <c r="AF10" s="706">
        <v>77.78</v>
      </c>
      <c r="AG10" s="706">
        <v>-17.78</v>
      </c>
      <c r="AH10" s="706">
        <v>0</v>
      </c>
      <c r="AI10" s="706">
        <v>0</v>
      </c>
      <c r="AJ10" s="706">
        <v>0</v>
      </c>
    </row>
    <row r="11" spans="2:36" ht="17">
      <c r="B11" s="724" t="s">
        <v>147</v>
      </c>
      <c r="C11" s="725" t="s">
        <v>734</v>
      </c>
      <c r="D11" s="748">
        <f>IF(D6="Other",K16,VLOOKUP($D$6,$O$5:$AA$44,7,))</f>
        <v>0</v>
      </c>
      <c r="E11" s="726">
        <f>IF(E6="Other",L16,VLOOKUP($E$6,$O$5:$AA$44,7,))</f>
        <v>0</v>
      </c>
      <c r="F11" s="597"/>
      <c r="N11" s="702">
        <v>47</v>
      </c>
      <c r="O11" s="702" t="s">
        <v>371</v>
      </c>
      <c r="P11" s="702" t="s">
        <v>251</v>
      </c>
      <c r="R11" s="702">
        <f t="shared" si="0"/>
        <v>6.5633425000000001</v>
      </c>
      <c r="S11" s="704">
        <f t="shared" si="1"/>
        <v>0.60090757105326009</v>
      </c>
      <c r="T11" s="702">
        <f t="shared" si="2"/>
        <v>481</v>
      </c>
      <c r="U11" s="704">
        <f t="shared" si="3"/>
        <v>0.33006926200143294</v>
      </c>
      <c r="V11" s="705">
        <f t="shared" si="4"/>
        <v>150.99799999999999</v>
      </c>
      <c r="W11" s="702">
        <f t="shared" si="4"/>
        <v>-4.0000000000048885E-3</v>
      </c>
      <c r="X11" s="702">
        <f t="shared" si="5"/>
        <v>0</v>
      </c>
      <c r="Y11" s="702">
        <f t="shared" si="6"/>
        <v>0</v>
      </c>
      <c r="Z11" s="702">
        <f t="shared" si="7"/>
        <v>0</v>
      </c>
      <c r="AA11" s="702" t="b">
        <v>0</v>
      </c>
      <c r="AB11" s="706">
        <v>786.5</v>
      </c>
      <c r="AC11" s="706">
        <v>2.516</v>
      </c>
      <c r="AD11" s="706">
        <v>1118.806</v>
      </c>
      <c r="AE11" s="706">
        <v>1.3819999999999999</v>
      </c>
      <c r="AF11" s="706">
        <v>66.11</v>
      </c>
      <c r="AG11" s="706">
        <v>-17.78</v>
      </c>
      <c r="AH11" s="706">
        <v>0</v>
      </c>
      <c r="AI11" s="706">
        <v>0</v>
      </c>
      <c r="AJ11" s="706">
        <v>0</v>
      </c>
    </row>
    <row r="12" spans="2:36">
      <c r="B12" s="1141"/>
      <c r="C12" s="1142"/>
      <c r="D12" s="1142"/>
      <c r="E12" s="1143"/>
      <c r="F12" s="597"/>
      <c r="N12" s="702">
        <v>48</v>
      </c>
      <c r="O12" s="702" t="s">
        <v>372</v>
      </c>
      <c r="P12" s="702" t="s">
        <v>251</v>
      </c>
      <c r="R12" s="702">
        <f t="shared" si="0"/>
        <v>7.2918609999999999</v>
      </c>
      <c r="S12" s="704">
        <f t="shared" si="1"/>
        <v>0.42297587771674222</v>
      </c>
      <c r="T12" s="702">
        <f t="shared" si="2"/>
        <v>170</v>
      </c>
      <c r="U12" s="704">
        <f t="shared" si="3"/>
        <v>0.33006926200143294</v>
      </c>
      <c r="V12" s="705">
        <f t="shared" si="4"/>
        <v>176</v>
      </c>
      <c r="W12" s="702">
        <f t="shared" si="4"/>
        <v>-4.0000000000048885E-3</v>
      </c>
      <c r="X12" s="702">
        <f t="shared" si="5"/>
        <v>0</v>
      </c>
      <c r="Y12" s="702">
        <f t="shared" si="6"/>
        <v>0</v>
      </c>
      <c r="Z12" s="702">
        <f t="shared" si="7"/>
        <v>0</v>
      </c>
      <c r="AA12" s="702" t="b">
        <v>0</v>
      </c>
      <c r="AB12" s="706">
        <v>873.8</v>
      </c>
      <c r="AC12" s="706">
        <v>1.7709999999999999</v>
      </c>
      <c r="AD12" s="706">
        <v>395.42</v>
      </c>
      <c r="AE12" s="706">
        <v>1.3819999999999999</v>
      </c>
      <c r="AF12" s="706">
        <v>80</v>
      </c>
      <c r="AG12" s="706">
        <v>-17.78</v>
      </c>
      <c r="AH12" s="706">
        <v>0</v>
      </c>
      <c r="AI12" s="706">
        <v>0</v>
      </c>
      <c r="AJ12" s="706">
        <v>0</v>
      </c>
    </row>
    <row r="13" spans="2:36">
      <c r="B13" s="727" t="s">
        <v>1587</v>
      </c>
      <c r="C13" s="728" t="s">
        <v>580</v>
      </c>
      <c r="D13" s="772"/>
      <c r="E13" s="729"/>
      <c r="F13" s="1139" t="str">
        <f>IF(D13=E13,"","Note: Please make sure the proposed production can be supported by upstream and downstream processes")</f>
        <v/>
      </c>
      <c r="G13" s="1140"/>
      <c r="H13" t="s">
        <v>580</v>
      </c>
      <c r="N13" s="702">
        <v>49</v>
      </c>
      <c r="O13" s="702" t="s">
        <v>373</v>
      </c>
      <c r="P13" s="702" t="s">
        <v>251</v>
      </c>
      <c r="R13" s="702">
        <f t="shared" si="0"/>
        <v>26.0364</v>
      </c>
      <c r="S13" s="704">
        <f t="shared" si="1"/>
        <v>0.10699785048961069</v>
      </c>
      <c r="T13" s="702">
        <f t="shared" si="2"/>
        <v>82</v>
      </c>
      <c r="U13" s="704">
        <f t="shared" si="3"/>
        <v>5.493193217100549E-2</v>
      </c>
      <c r="V13" s="705">
        <f t="shared" si="4"/>
        <v>141.99799999999999</v>
      </c>
      <c r="W13" s="702">
        <f t="shared" si="4"/>
        <v>-4.0000000000048885E-3</v>
      </c>
      <c r="X13" s="702">
        <f t="shared" si="5"/>
        <v>0</v>
      </c>
      <c r="Y13" s="702">
        <f t="shared" si="6"/>
        <v>0</v>
      </c>
      <c r="Z13" s="702">
        <f t="shared" si="7"/>
        <v>0</v>
      </c>
      <c r="AA13" s="702" t="b">
        <v>0</v>
      </c>
      <c r="AB13" s="706">
        <v>3120</v>
      </c>
      <c r="AC13" s="706">
        <v>0.44800000000000001</v>
      </c>
      <c r="AD13" s="706">
        <v>190.732</v>
      </c>
      <c r="AE13" s="706">
        <v>0.23</v>
      </c>
      <c r="AF13" s="706">
        <v>61.11</v>
      </c>
      <c r="AG13" s="706">
        <v>-17.78</v>
      </c>
      <c r="AH13" s="706">
        <v>0</v>
      </c>
      <c r="AI13" s="706">
        <v>0</v>
      </c>
      <c r="AJ13" s="706">
        <v>0</v>
      </c>
    </row>
    <row r="14" spans="2:36" ht="17">
      <c r="B14" s="717" t="s">
        <v>257</v>
      </c>
      <c r="C14" s="718" t="s">
        <v>114</v>
      </c>
      <c r="D14" s="730">
        <f>IF(C13="lbs./hr.",D13,IF(C13="gpm",D13*60*D8,IF(C13="liter/hr.",D13*0.2642*60*D8,IF(C13="kg./hr.",D13*2.2046))))</f>
        <v>0</v>
      </c>
      <c r="E14" s="731">
        <f>IF(C13="lbs./hr.",E13,IF(C13="gpm",E13*60*D8,IF(C13="liter/hr.",E13*0.2642*60*D8,IF(C13="kg./hr.",E13*2.2046))))</f>
        <v>0</v>
      </c>
      <c r="F14" s="1139"/>
      <c r="G14" s="1140"/>
      <c r="H14" t="s">
        <v>114</v>
      </c>
      <c r="N14" s="702">
        <v>50</v>
      </c>
      <c r="O14" s="702" t="s">
        <v>374</v>
      </c>
      <c r="P14" s="702" t="s">
        <v>251</v>
      </c>
      <c r="R14" s="702">
        <f t="shared" si="0"/>
        <v>13.21848</v>
      </c>
      <c r="S14" s="704">
        <f t="shared" si="1"/>
        <v>0.21495103893002149</v>
      </c>
      <c r="T14" s="702">
        <f t="shared" si="2"/>
        <v>83.5</v>
      </c>
      <c r="U14" s="704">
        <f t="shared" si="3"/>
        <v>0.25005970862192495</v>
      </c>
      <c r="V14" s="705">
        <f t="shared" si="4"/>
        <v>170.006</v>
      </c>
      <c r="W14" s="702">
        <f t="shared" si="4"/>
        <v>-4.0000000000048885E-3</v>
      </c>
      <c r="X14" s="702">
        <f t="shared" si="5"/>
        <v>0</v>
      </c>
      <c r="Y14" s="702">
        <f t="shared" si="6"/>
        <v>0</v>
      </c>
      <c r="Z14" s="702">
        <f t="shared" si="7"/>
        <v>0</v>
      </c>
      <c r="AA14" s="702" t="b">
        <v>0</v>
      </c>
      <c r="AB14" s="706">
        <v>1584</v>
      </c>
      <c r="AC14" s="706">
        <v>0.9</v>
      </c>
      <c r="AD14" s="706">
        <v>194.221</v>
      </c>
      <c r="AE14" s="706">
        <v>1.0469999999999999</v>
      </c>
      <c r="AF14" s="706">
        <v>76.67</v>
      </c>
      <c r="AG14" s="706">
        <v>-17.78</v>
      </c>
      <c r="AH14" s="706">
        <v>0</v>
      </c>
      <c r="AI14" s="706">
        <v>0</v>
      </c>
      <c r="AJ14" s="706">
        <v>0</v>
      </c>
    </row>
    <row r="15" spans="2:36" ht="17">
      <c r="B15" s="717" t="s">
        <v>116</v>
      </c>
      <c r="C15" s="718" t="s">
        <v>255</v>
      </c>
      <c r="D15" s="732"/>
      <c r="E15" s="733"/>
      <c r="F15" s="1139"/>
      <c r="G15" s="1140"/>
      <c r="H15" t="s">
        <v>698</v>
      </c>
      <c r="N15" s="702">
        <v>51</v>
      </c>
      <c r="O15" s="702" t="s">
        <v>1517</v>
      </c>
      <c r="P15" s="702" t="s">
        <v>251</v>
      </c>
      <c r="R15" s="702">
        <f t="shared" si="0"/>
        <v>7.4270500000000004</v>
      </c>
      <c r="S15" s="704">
        <f t="shared" si="1"/>
        <v>0.57009792213995703</v>
      </c>
      <c r="T15" s="702">
        <f t="shared" si="2"/>
        <v>104.99999999999999</v>
      </c>
      <c r="U15" s="704">
        <f t="shared" si="3"/>
        <v>0.55003582517315497</v>
      </c>
      <c r="V15" s="705">
        <f t="shared" si="4"/>
        <v>375.00800000000004</v>
      </c>
      <c r="W15" s="702">
        <f t="shared" si="4"/>
        <v>-4.0000000000048885E-3</v>
      </c>
      <c r="X15" s="702">
        <f t="shared" si="5"/>
        <v>0</v>
      </c>
      <c r="Y15" s="702">
        <f t="shared" si="6"/>
        <v>0</v>
      </c>
      <c r="Z15" s="702">
        <f t="shared" si="7"/>
        <v>0</v>
      </c>
      <c r="AA15" s="702" t="b">
        <v>0</v>
      </c>
      <c r="AB15" s="706">
        <v>890</v>
      </c>
      <c r="AC15" s="706">
        <v>2.387</v>
      </c>
      <c r="AD15" s="706">
        <v>244.23</v>
      </c>
      <c r="AE15" s="706">
        <v>2.3029999999999999</v>
      </c>
      <c r="AF15" s="706">
        <v>190.56</v>
      </c>
      <c r="AG15" s="706">
        <v>-17.78</v>
      </c>
      <c r="AH15" s="706">
        <v>0</v>
      </c>
      <c r="AI15" s="706">
        <v>0</v>
      </c>
      <c r="AJ15" s="706">
        <v>0</v>
      </c>
    </row>
    <row r="16" spans="2:36" ht="17">
      <c r="B16" s="717" t="s">
        <v>149</v>
      </c>
      <c r="C16" s="718" t="s">
        <v>255</v>
      </c>
      <c r="D16" s="732"/>
      <c r="E16" s="733"/>
      <c r="F16" s="597"/>
      <c r="H16" t="s">
        <v>696</v>
      </c>
      <c r="N16" s="702">
        <v>52</v>
      </c>
      <c r="O16" s="702" t="s">
        <v>375</v>
      </c>
      <c r="P16" s="702" t="s">
        <v>251</v>
      </c>
      <c r="R16" s="702">
        <f t="shared" si="0"/>
        <v>8.1781000000000006</v>
      </c>
      <c r="S16" s="704">
        <f t="shared" si="1"/>
        <v>0.57989013613565799</v>
      </c>
      <c r="T16" s="702">
        <f t="shared" si="2"/>
        <v>108</v>
      </c>
      <c r="U16" s="704">
        <f t="shared" si="3"/>
        <v>0.55003582517315497</v>
      </c>
      <c r="V16" s="705">
        <f t="shared" si="4"/>
        <v>600.00800000000004</v>
      </c>
      <c r="W16" s="702">
        <f t="shared" si="4"/>
        <v>-4.0000000000048885E-3</v>
      </c>
      <c r="X16" s="702">
        <f t="shared" si="5"/>
        <v>0</v>
      </c>
      <c r="Y16" s="702">
        <f t="shared" si="6"/>
        <v>0</v>
      </c>
      <c r="Z16" s="702">
        <f t="shared" si="7"/>
        <v>0</v>
      </c>
      <c r="AA16" s="702" t="b">
        <v>0</v>
      </c>
      <c r="AB16" s="706">
        <v>980</v>
      </c>
      <c r="AC16" s="706">
        <v>2.4279999999999999</v>
      </c>
      <c r="AD16" s="706">
        <v>251.208</v>
      </c>
      <c r="AE16" s="706">
        <v>2.3029999999999999</v>
      </c>
      <c r="AF16" s="706">
        <v>315.56</v>
      </c>
      <c r="AG16" s="706">
        <v>-17.78</v>
      </c>
      <c r="AH16" s="706">
        <v>0</v>
      </c>
      <c r="AI16" s="706">
        <v>0</v>
      </c>
      <c r="AJ16" s="706">
        <v>0</v>
      </c>
    </row>
    <row r="17" spans="2:36" ht="17">
      <c r="B17" s="717" t="s">
        <v>258</v>
      </c>
      <c r="C17" s="718" t="s">
        <v>7</v>
      </c>
      <c r="D17" s="734"/>
      <c r="E17" s="735"/>
      <c r="F17" s="597"/>
      <c r="N17" s="702">
        <v>53</v>
      </c>
      <c r="O17" s="702" t="s">
        <v>376</v>
      </c>
      <c r="P17" s="702" t="s">
        <v>251</v>
      </c>
      <c r="R17" s="702">
        <f t="shared" si="0"/>
        <v>6.8437345000000001</v>
      </c>
      <c r="S17" s="704">
        <f t="shared" si="1"/>
        <v>0.57009792213995703</v>
      </c>
      <c r="T17" s="702">
        <f t="shared" si="2"/>
        <v>260</v>
      </c>
      <c r="U17" s="704">
        <f t="shared" si="3"/>
        <v>0.62001433006926199</v>
      </c>
      <c r="V17" s="705">
        <f t="shared" si="4"/>
        <v>260.00599999999997</v>
      </c>
      <c r="W17" s="702">
        <f t="shared" si="4"/>
        <v>-4.0000000000048885E-3</v>
      </c>
      <c r="X17" s="702">
        <f t="shared" si="5"/>
        <v>0</v>
      </c>
      <c r="Y17" s="702">
        <f t="shared" si="6"/>
        <v>0</v>
      </c>
      <c r="Z17" s="702">
        <f t="shared" si="7"/>
        <v>0</v>
      </c>
      <c r="AA17" s="702" t="b">
        <v>0</v>
      </c>
      <c r="AB17" s="706">
        <v>820.1</v>
      </c>
      <c r="AC17" s="706">
        <v>2.387</v>
      </c>
      <c r="AD17" s="706">
        <v>604.76</v>
      </c>
      <c r="AE17" s="706">
        <v>2.5960000000000001</v>
      </c>
      <c r="AF17" s="706">
        <v>126.67</v>
      </c>
      <c r="AG17" s="706">
        <v>-17.78</v>
      </c>
      <c r="AH17" s="706">
        <v>0</v>
      </c>
      <c r="AI17" s="706">
        <v>0</v>
      </c>
      <c r="AJ17" s="706">
        <v>0</v>
      </c>
    </row>
    <row r="18" spans="2:36" ht="17">
      <c r="B18" s="717" t="s">
        <v>259</v>
      </c>
      <c r="C18" s="718" t="s">
        <v>7</v>
      </c>
      <c r="D18" s="734"/>
      <c r="E18" s="735"/>
      <c r="F18" s="597"/>
      <c r="N18" s="702">
        <v>54</v>
      </c>
      <c r="O18" s="702" t="s">
        <v>377</v>
      </c>
      <c r="P18" s="702" t="s">
        <v>251</v>
      </c>
      <c r="R18" s="702">
        <f t="shared" si="0"/>
        <v>6.6008950000000004</v>
      </c>
      <c r="S18" s="702">
        <f t="shared" si="1"/>
        <v>0</v>
      </c>
      <c r="T18" s="702">
        <f t="shared" si="2"/>
        <v>0</v>
      </c>
      <c r="U18" s="702">
        <f t="shared" si="3"/>
        <v>0</v>
      </c>
      <c r="V18" s="702">
        <f t="shared" si="4"/>
        <v>32</v>
      </c>
      <c r="W18" s="702">
        <f t="shared" si="4"/>
        <v>32</v>
      </c>
      <c r="X18" s="702">
        <f t="shared" si="5"/>
        <v>0</v>
      </c>
      <c r="Y18" s="702">
        <f t="shared" si="6"/>
        <v>0</v>
      </c>
      <c r="Z18" s="702">
        <f t="shared" si="7"/>
        <v>0</v>
      </c>
      <c r="AA18" s="702" t="b">
        <v>0</v>
      </c>
      <c r="AB18" s="706">
        <v>791</v>
      </c>
      <c r="AC18" s="706"/>
      <c r="AD18" s="706"/>
      <c r="AE18" s="706"/>
      <c r="AF18" s="706"/>
      <c r="AG18" s="706"/>
      <c r="AH18" s="706"/>
      <c r="AI18" s="706"/>
      <c r="AJ18" s="706">
        <v>0</v>
      </c>
    </row>
    <row r="19" spans="2:36" ht="17">
      <c r="B19" s="717" t="s">
        <v>122</v>
      </c>
      <c r="C19" s="718" t="s">
        <v>110</v>
      </c>
      <c r="D19" s="732"/>
      <c r="E19" s="733"/>
      <c r="F19" s="597"/>
      <c r="O19" s="702" t="s">
        <v>133</v>
      </c>
    </row>
    <row r="20" spans="2:36" ht="17">
      <c r="B20" s="717" t="s">
        <v>150</v>
      </c>
      <c r="C20" s="718"/>
      <c r="D20" s="736" t="s">
        <v>151</v>
      </c>
      <c r="E20" s="737" t="s">
        <v>151</v>
      </c>
      <c r="F20" s="597"/>
    </row>
    <row r="21" spans="2:36" ht="17">
      <c r="B21" s="717" t="s">
        <v>260</v>
      </c>
      <c r="C21" s="718" t="s">
        <v>7</v>
      </c>
      <c r="D21" s="738"/>
      <c r="E21" s="739"/>
      <c r="F21" s="597"/>
    </row>
    <row r="22" spans="2:36" ht="18" thickBot="1">
      <c r="B22" s="740" t="s">
        <v>128</v>
      </c>
      <c r="C22" s="741" t="s">
        <v>197</v>
      </c>
      <c r="D22" s="742">
        <f>IFERROR(D41,"")</f>
        <v>0</v>
      </c>
      <c r="E22" s="743">
        <f>E41</f>
        <v>0</v>
      </c>
      <c r="F22" s="59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row>
    <row r="23" spans="2:36" s="373" customFormat="1">
      <c r="B23" s="598"/>
      <c r="C23" s="599"/>
      <c r="D23" s="598"/>
      <c r="E23" s="598"/>
      <c r="F23" s="59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row>
    <row r="24" spans="2:36" s="373" customFormat="1">
      <c r="B24" s="598"/>
      <c r="C24" s="599"/>
      <c r="D24" s="598"/>
      <c r="E24" s="598"/>
      <c r="F24" s="59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row>
    <row r="25" spans="2:36" ht="17" hidden="1" thickBot="1">
      <c r="B25" s="233"/>
      <c r="C25" s="234"/>
      <c r="D25" s="233"/>
      <c r="E25" s="233"/>
      <c r="F25" s="597"/>
    </row>
    <row r="26" spans="2:36" hidden="1">
      <c r="B26" s="265" t="s">
        <v>130</v>
      </c>
      <c r="C26" s="266"/>
      <c r="D26" s="249"/>
      <c r="E26" s="249"/>
      <c r="F26" s="59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row>
    <row r="27" spans="2:36" hidden="1">
      <c r="B27" s="233" t="s">
        <v>261</v>
      </c>
      <c r="C27" s="233" t="str">
        <f>C14</f>
        <v>lbs./hr.</v>
      </c>
      <c r="D27" s="267">
        <f>D14*D17</f>
        <v>0</v>
      </c>
      <c r="E27" s="267">
        <f>E14*E17</f>
        <v>0</v>
      </c>
      <c r="F27" s="597"/>
    </row>
    <row r="28" spans="2:36" hidden="1">
      <c r="B28" s="249" t="s">
        <v>262</v>
      </c>
      <c r="C28" s="249" t="str">
        <f>C27</f>
        <v>lbs./hr.</v>
      </c>
      <c r="D28" s="267">
        <f>D14-D27</f>
        <v>0</v>
      </c>
      <c r="E28" s="267">
        <f>E14-E27</f>
        <v>0</v>
      </c>
      <c r="F28" s="597"/>
    </row>
    <row r="29" spans="2:36" hidden="1">
      <c r="B29" s="249"/>
      <c r="C29" s="249"/>
      <c r="D29" s="267"/>
      <c r="E29" s="267"/>
      <c r="F29" s="597"/>
    </row>
    <row r="30" spans="2:36" hidden="1">
      <c r="B30" s="249" t="s">
        <v>272</v>
      </c>
      <c r="C30" s="249" t="s">
        <v>190</v>
      </c>
      <c r="D30" s="267"/>
      <c r="E30" s="267"/>
      <c r="F30" s="597"/>
    </row>
    <row r="31" spans="2:36" hidden="1">
      <c r="B31" s="249" t="s">
        <v>263</v>
      </c>
      <c r="C31" s="249" t="s">
        <v>190</v>
      </c>
      <c r="D31" s="267">
        <f>D27*D7*(D9-D15)</f>
        <v>0</v>
      </c>
      <c r="E31" s="267">
        <f>E27*E7*(E9-E15)</f>
        <v>0</v>
      </c>
      <c r="F31" s="597"/>
    </row>
    <row r="32" spans="2:36" hidden="1">
      <c r="B32" s="249" t="s">
        <v>264</v>
      </c>
      <c r="C32" s="249" t="s">
        <v>190</v>
      </c>
      <c r="D32" s="267">
        <f>IF(D16&gt;D9,D27*D10,0)</f>
        <v>0</v>
      </c>
      <c r="E32" s="267">
        <f>IF(E16&gt;E9,E27*E10,0)</f>
        <v>0</v>
      </c>
      <c r="F32" s="597"/>
    </row>
    <row r="33" spans="2:36" hidden="1">
      <c r="B33" s="249" t="s">
        <v>265</v>
      </c>
      <c r="C33" s="249" t="s">
        <v>190</v>
      </c>
      <c r="D33" s="267">
        <f>IF(D16&gt;D9, D11*D27*(D16-D9), 0)</f>
        <v>0</v>
      </c>
      <c r="E33" s="267">
        <f>IF(E16&gt;E9, E11*E27*(E16-E9), 0)</f>
        <v>0</v>
      </c>
      <c r="F33" s="597"/>
    </row>
    <row r="34" spans="2:36" hidden="1">
      <c r="B34" s="268" t="s">
        <v>155</v>
      </c>
      <c r="C34" s="249" t="s">
        <v>190</v>
      </c>
      <c r="D34" s="269">
        <f>SUM(D31:D33)</f>
        <v>0</v>
      </c>
      <c r="E34" s="269">
        <f>SUM(E31:E33)</f>
        <v>0</v>
      </c>
      <c r="F34" s="597"/>
    </row>
    <row r="35" spans="2:36" hidden="1">
      <c r="B35" s="249"/>
      <c r="C35" s="249"/>
      <c r="D35" s="267"/>
      <c r="E35" s="267"/>
      <c r="F35" s="597"/>
    </row>
    <row r="36" spans="2:36" hidden="1">
      <c r="B36" s="249" t="s">
        <v>266</v>
      </c>
      <c r="C36" s="249" t="s">
        <v>190</v>
      </c>
      <c r="D36" s="267"/>
      <c r="E36" s="267"/>
      <c r="F36" s="597"/>
    </row>
    <row r="37" spans="2:36" hidden="1">
      <c r="B37" s="249" t="s">
        <v>267</v>
      </c>
      <c r="C37" s="249" t="s">
        <v>190</v>
      </c>
      <c r="D37" s="267">
        <f>D7*D28*(D16-D15)</f>
        <v>0</v>
      </c>
      <c r="E37" s="267">
        <f>E7*E28*(E16-E15)</f>
        <v>0</v>
      </c>
      <c r="F37" s="597"/>
    </row>
    <row r="38" spans="2:36" hidden="1">
      <c r="B38" s="249" t="s">
        <v>268</v>
      </c>
      <c r="C38" s="249" t="s">
        <v>190</v>
      </c>
      <c r="D38" s="267">
        <f>IF(D20="Endothermic",1,-1)*D18*D14*D19</f>
        <v>0</v>
      </c>
      <c r="E38" s="267">
        <f>IF(E20="Endothermic",1,-1)*E18*E14*E19</f>
        <v>0</v>
      </c>
      <c r="F38" s="597"/>
    </row>
    <row r="39" spans="2:36" hidden="1">
      <c r="B39" s="268" t="s">
        <v>269</v>
      </c>
      <c r="C39" s="249" t="s">
        <v>190</v>
      </c>
      <c r="D39" s="269">
        <f>D37+(IF(D20="Endothermic",D38,0))</f>
        <v>0</v>
      </c>
      <c r="E39" s="269">
        <f>E37+(IF(E20="Endothermic",E38,0))</f>
        <v>0</v>
      </c>
      <c r="F39" s="597"/>
    </row>
    <row r="40" spans="2:36" hidden="1">
      <c r="B40" s="249"/>
      <c r="C40" s="249"/>
      <c r="D40" s="267"/>
      <c r="E40" s="267"/>
      <c r="F40" s="597"/>
    </row>
    <row r="41" spans="2:36" hidden="1">
      <c r="B41" s="268" t="s">
        <v>270</v>
      </c>
      <c r="C41" s="270" t="s">
        <v>190</v>
      </c>
      <c r="D41" s="269">
        <f>D34+D39+D21</f>
        <v>0</v>
      </c>
      <c r="E41" s="269">
        <f>E34+E39+E21</f>
        <v>0</v>
      </c>
      <c r="F41" s="597"/>
    </row>
    <row r="42" spans="2:36" hidden="1">
      <c r="B42" s="230"/>
      <c r="C42" s="230"/>
      <c r="D42" s="230"/>
      <c r="E42" s="230"/>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row>
    <row r="43" spans="2:36" hidden="1">
      <c r="B43" s="231" t="s">
        <v>671</v>
      </c>
      <c r="C43" s="229" t="s">
        <v>233</v>
      </c>
      <c r="D43" s="232" t="str">
        <f>IFERROR(D41/D14,"")</f>
        <v/>
      </c>
      <c r="E43" s="232" t="str">
        <f>IFERROR(E41/E14,"")</f>
        <v/>
      </c>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row>
    <row r="44" spans="2:36" hidden="1">
      <c r="B44" s="231" t="s">
        <v>693</v>
      </c>
      <c r="C44" s="229" t="s">
        <v>694</v>
      </c>
      <c r="D44" s="232" t="str">
        <f>IFERROR(D43*D8,"")</f>
        <v/>
      </c>
      <c r="E44" s="232" t="str">
        <f>IFERROR(E43*E8,"")</f>
        <v/>
      </c>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row>
    <row r="45" spans="2:36" hidden="1">
      <c r="B45" s="199"/>
      <c r="C45" s="175"/>
      <c r="D45" s="214"/>
      <c r="E45" s="214"/>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row>
    <row r="46" spans="2:36" hidden="1">
      <c r="B46" t="s">
        <v>273</v>
      </c>
      <c r="D46" s="169">
        <v>0.65</v>
      </c>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row>
    <row r="47" spans="2:36" hidden="1">
      <c r="B47" t="s">
        <v>274</v>
      </c>
      <c r="D47" s="139">
        <f>D37+D34</f>
        <v>0</v>
      </c>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row>
    <row r="48" spans="2:36" hidden="1">
      <c r="B48" t="s">
        <v>275</v>
      </c>
      <c r="D48" s="157">
        <f>IF(D20="Endothermic",  ((D47+D38)/D46), (D47/D46+D38))</f>
        <v>0</v>
      </c>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row>
    <row r="49" spans="14:36" hidden="1">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row>
  </sheetData>
  <mergeCells count="3">
    <mergeCell ref="F13:G15"/>
    <mergeCell ref="B12:E12"/>
    <mergeCell ref="B5:E5"/>
  </mergeCells>
  <dataValidations count="4">
    <dataValidation type="decimal" allowBlank="1" showInputMessage="1" showErrorMessage="1" sqref="D17:E18" xr:uid="{00000000-0002-0000-0C00-000000000000}">
      <formula1>0</formula1>
      <formula2>100</formula2>
    </dataValidation>
    <dataValidation type="list" allowBlank="1" showInputMessage="1" showErrorMessage="1" sqref="D20:E20" xr:uid="{00000000-0002-0000-0C00-000001000000}">
      <formula1>"Exothermic, Endothermic"</formula1>
    </dataValidation>
    <dataValidation type="list" allowBlank="1" showInputMessage="1" showErrorMessage="1" sqref="C13" xr:uid="{00000000-0002-0000-0C00-000003000000}">
      <formula1>$H$13:$H$16</formula1>
    </dataValidation>
    <dataValidation type="list" allowBlank="1" showInputMessage="1" showErrorMessage="1" sqref="D6:E6" xr:uid="{00000000-0002-0000-0C00-000002000000}">
      <formula1>$O$5:$O$19</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AK50"/>
  <sheetViews>
    <sheetView workbookViewId="0">
      <selection activeCell="C12" sqref="B5:E22"/>
    </sheetView>
  </sheetViews>
  <sheetFormatPr baseColWidth="10" defaultColWidth="0" defaultRowHeight="16" zeroHeight="1"/>
  <cols>
    <col min="1" max="1" width="9" style="373" customWidth="1"/>
    <col min="2" max="2" width="44" customWidth="1"/>
    <col min="3" max="3" width="15" customWidth="1"/>
    <col min="4" max="4" width="17.1640625" customWidth="1"/>
    <col min="5" max="5" width="16" customWidth="1"/>
    <col min="6" max="6" width="17.5" style="373" customWidth="1"/>
    <col min="7" max="7" width="11.33203125" style="373" customWidth="1"/>
    <col min="8" max="8" width="17.1640625" hidden="1" customWidth="1"/>
    <col min="9" max="13" width="9" hidden="1" customWidth="1"/>
    <col min="14" max="14" width="8" style="800" hidden="1" customWidth="1"/>
    <col min="15" max="15" width="26.83203125" style="800" hidden="1" customWidth="1"/>
    <col min="16" max="37" width="8" style="800" hidden="1" customWidth="1"/>
    <col min="38" max="16384" width="9" hidden="1"/>
  </cols>
  <sheetData>
    <row r="1" spans="2:37" s="373" customFormat="1">
      <c r="N1" s="800"/>
      <c r="O1" s="800"/>
      <c r="P1" s="800"/>
      <c r="Q1" s="800"/>
      <c r="R1" s="800"/>
      <c r="S1" s="800"/>
      <c r="T1" s="800"/>
      <c r="U1" s="800"/>
      <c r="V1" s="800"/>
      <c r="W1" s="800"/>
      <c r="X1" s="800"/>
      <c r="Y1" s="800"/>
      <c r="Z1" s="800"/>
      <c r="AA1" s="800"/>
      <c r="AB1" s="800"/>
      <c r="AC1" s="702" t="s">
        <v>1538</v>
      </c>
      <c r="AD1" s="702">
        <f>1/16.02</f>
        <v>6.2421972534332085E-2</v>
      </c>
      <c r="AE1" s="702" t="s">
        <v>1542</v>
      </c>
      <c r="AF1" s="800"/>
      <c r="AG1" s="800"/>
      <c r="AH1" s="800"/>
      <c r="AI1" s="800"/>
      <c r="AJ1" s="800"/>
      <c r="AK1" s="800"/>
    </row>
    <row r="2" spans="2:37" s="373" customFormat="1">
      <c r="N2" s="800"/>
      <c r="O2" s="800"/>
      <c r="P2" s="800"/>
      <c r="Q2" s="800"/>
      <c r="R2" s="800"/>
      <c r="S2" s="800"/>
      <c r="T2" s="800"/>
      <c r="U2" s="800"/>
      <c r="V2" s="800"/>
      <c r="W2" s="800"/>
      <c r="X2" s="800"/>
      <c r="Y2" s="800"/>
      <c r="Z2" s="800"/>
      <c r="AA2" s="800"/>
      <c r="AB2" s="800"/>
      <c r="AC2" s="800"/>
      <c r="AD2" s="800"/>
      <c r="AE2" s="800"/>
      <c r="AF2" s="800"/>
      <c r="AG2" s="800"/>
      <c r="AH2" s="800"/>
      <c r="AI2" s="800"/>
      <c r="AJ2" s="800"/>
      <c r="AK2" s="800"/>
    </row>
    <row r="3" spans="2:37" s="373" customFormat="1" ht="13.5" customHeight="1">
      <c r="N3" s="801" t="s">
        <v>92</v>
      </c>
      <c r="O3" s="801" t="s">
        <v>93</v>
      </c>
      <c r="P3" s="801" t="s">
        <v>94</v>
      </c>
      <c r="Q3" s="801" t="s">
        <v>95</v>
      </c>
      <c r="R3" s="801" t="s">
        <v>156</v>
      </c>
      <c r="S3" s="801" t="s">
        <v>1518</v>
      </c>
      <c r="T3" s="801" t="s">
        <v>158</v>
      </c>
      <c r="U3" s="801" t="s">
        <v>1519</v>
      </c>
      <c r="V3" s="801" t="s">
        <v>142</v>
      </c>
      <c r="W3" s="801" t="s">
        <v>96</v>
      </c>
      <c r="X3" s="801" t="s">
        <v>160</v>
      </c>
      <c r="Y3" s="801" t="s">
        <v>143</v>
      </c>
      <c r="Z3" s="801" t="s">
        <v>144</v>
      </c>
      <c r="AA3" s="801" t="s">
        <v>97</v>
      </c>
      <c r="AB3" s="800"/>
      <c r="AC3" s="800"/>
      <c r="AD3" s="800"/>
      <c r="AE3" s="800"/>
      <c r="AF3" s="800"/>
      <c r="AG3" s="800"/>
      <c r="AH3" s="800"/>
      <c r="AI3" s="800"/>
      <c r="AJ3" s="800"/>
      <c r="AK3" s="800"/>
    </row>
    <row r="4" spans="2:37" s="373" customFormat="1" ht="46" thickBot="1">
      <c r="N4" s="802"/>
      <c r="O4" s="802"/>
      <c r="P4" s="802"/>
      <c r="Q4" s="802"/>
      <c r="R4" s="800">
        <f>16.02</f>
        <v>16.02</v>
      </c>
      <c r="S4" s="800">
        <v>4.1870000000000003</v>
      </c>
      <c r="T4" s="800">
        <v>2.3260000000000001</v>
      </c>
      <c r="U4" s="800">
        <f>S4</f>
        <v>4.1870000000000003</v>
      </c>
      <c r="V4" s="800" t="s">
        <v>101</v>
      </c>
      <c r="W4" s="800" t="s">
        <v>101</v>
      </c>
      <c r="X4" s="800">
        <v>2.3260000000000001</v>
      </c>
      <c r="Y4" s="800">
        <f>X4</f>
        <v>2.3260000000000001</v>
      </c>
      <c r="Z4" s="800">
        <f>Y4</f>
        <v>2.3260000000000001</v>
      </c>
      <c r="AA4" s="802"/>
      <c r="AB4" s="802"/>
      <c r="AC4" s="802" t="s">
        <v>1541</v>
      </c>
      <c r="AD4" s="802"/>
      <c r="AE4" s="802"/>
      <c r="AF4" s="802"/>
      <c r="AG4" s="802"/>
      <c r="AH4" s="802"/>
      <c r="AI4" s="802"/>
      <c r="AJ4" s="802"/>
      <c r="AK4" s="802"/>
    </row>
    <row r="5" spans="2:37" ht="25.5" customHeight="1" thickBot="1">
      <c r="B5" s="1149" t="s">
        <v>276</v>
      </c>
      <c r="C5" s="1150"/>
      <c r="D5" s="809" t="s">
        <v>99</v>
      </c>
      <c r="E5" s="810" t="s">
        <v>100</v>
      </c>
      <c r="F5" s="599"/>
      <c r="N5" s="800">
        <v>55</v>
      </c>
      <c r="O5" s="800" t="s">
        <v>162</v>
      </c>
      <c r="P5" s="800" t="s">
        <v>161</v>
      </c>
      <c r="R5" s="822">
        <f>AC5*$AD$1</f>
        <v>5.0187265917603002E-2</v>
      </c>
      <c r="S5" s="800">
        <f>AD5/$S$4</f>
        <v>0.47002627179364698</v>
      </c>
      <c r="T5" s="800">
        <v>0</v>
      </c>
      <c r="U5" s="800">
        <v>0</v>
      </c>
      <c r="V5" s="800">
        <f>AG5*1.8+32</f>
        <v>-4.0000000000048885E-3</v>
      </c>
      <c r="W5" s="800">
        <f>AH5*1.8+32</f>
        <v>-4.0000000000048885E-3</v>
      </c>
      <c r="X5" s="800">
        <v>0</v>
      </c>
      <c r="Y5" s="800">
        <v>0</v>
      </c>
      <c r="Z5" s="800">
        <v>0</v>
      </c>
      <c r="AA5" s="800" t="b">
        <v>0</v>
      </c>
      <c r="AB5" s="803"/>
      <c r="AC5" s="804">
        <v>0.80400000000000005</v>
      </c>
      <c r="AD5" s="804">
        <v>1.968</v>
      </c>
      <c r="AE5" s="804">
        <v>0</v>
      </c>
      <c r="AF5" s="804">
        <v>0</v>
      </c>
      <c r="AG5" s="804">
        <v>-17.78</v>
      </c>
      <c r="AH5" s="804">
        <v>-17.78</v>
      </c>
      <c r="AI5" s="804">
        <v>0</v>
      </c>
      <c r="AJ5" s="804">
        <v>0</v>
      </c>
      <c r="AK5" s="804">
        <v>0</v>
      </c>
    </row>
    <row r="6" spans="2:37" ht="17" thickBot="1">
      <c r="B6" s="1147" t="s">
        <v>161</v>
      </c>
      <c r="C6" s="1148"/>
      <c r="D6" s="792"/>
      <c r="E6" s="744"/>
      <c r="F6" s="604"/>
      <c r="N6" s="800">
        <v>56</v>
      </c>
      <c r="O6" s="800" t="s">
        <v>1520</v>
      </c>
      <c r="P6" s="800" t="s">
        <v>161</v>
      </c>
      <c r="R6" s="822">
        <f t="shared" ref="R6:R14" si="0">AC6*$AD$1</f>
        <v>0.12927658045945808</v>
      </c>
      <c r="S6" s="800">
        <f t="shared" ref="S6:S13" si="1">AD6/$S$4</f>
        <v>0.49008836876044898</v>
      </c>
      <c r="T6" s="800">
        <v>0</v>
      </c>
      <c r="U6" s="800">
        <v>0</v>
      </c>
      <c r="V6" s="800">
        <f t="shared" ref="V6:W14" si="2">AG6*1.8+32</f>
        <v>-4.0000000000048885E-3</v>
      </c>
      <c r="W6" s="800">
        <f t="shared" si="2"/>
        <v>-4.0000000000048885E-3</v>
      </c>
      <c r="X6" s="800">
        <v>0</v>
      </c>
      <c r="Y6" s="800">
        <v>0</v>
      </c>
      <c r="Z6" s="800">
        <v>0</v>
      </c>
      <c r="AA6" s="800" t="b">
        <v>0</v>
      </c>
      <c r="AB6" s="805"/>
      <c r="AC6" s="804">
        <f>1/0.482856</f>
        <v>2.0710108189605183</v>
      </c>
      <c r="AD6" s="804">
        <v>2.052</v>
      </c>
      <c r="AE6" s="804">
        <v>0</v>
      </c>
      <c r="AF6" s="804">
        <v>0</v>
      </c>
      <c r="AG6" s="804">
        <v>-17.78</v>
      </c>
      <c r="AH6" s="804">
        <v>-17.78</v>
      </c>
      <c r="AI6" s="804">
        <v>0</v>
      </c>
      <c r="AJ6" s="804">
        <v>0</v>
      </c>
      <c r="AK6" s="804">
        <v>0</v>
      </c>
    </row>
    <row r="7" spans="2:37" ht="25.5" customHeight="1">
      <c r="B7" s="1157" t="s">
        <v>1594</v>
      </c>
      <c r="C7" s="1159"/>
      <c r="D7" s="1153" t="s">
        <v>162</v>
      </c>
      <c r="E7" s="1155" t="s">
        <v>1521</v>
      </c>
      <c r="F7" s="605"/>
      <c r="N7" s="800">
        <v>57</v>
      </c>
      <c r="O7" s="800" t="s">
        <v>1521</v>
      </c>
      <c r="P7" s="800" t="s">
        <v>161</v>
      </c>
      <c r="R7" s="822">
        <f t="shared" si="0"/>
        <v>0.29947644868392886</v>
      </c>
      <c r="S7" s="800">
        <f t="shared" si="1"/>
        <v>0.50991163123955086</v>
      </c>
      <c r="T7" s="800">
        <v>0</v>
      </c>
      <c r="U7" s="800">
        <v>0</v>
      </c>
      <c r="V7" s="800">
        <f t="shared" si="2"/>
        <v>-4.0000000000048885E-3</v>
      </c>
      <c r="W7" s="800">
        <f t="shared" si="2"/>
        <v>-4.0000000000048885E-3</v>
      </c>
      <c r="X7" s="800">
        <v>0</v>
      </c>
      <c r="Y7" s="800">
        <v>0</v>
      </c>
      <c r="Z7" s="800">
        <v>0</v>
      </c>
      <c r="AA7" s="800" t="b">
        <v>0</v>
      </c>
      <c r="AC7" s="804">
        <f>1/0.208437</f>
        <v>4.7976127079165405</v>
      </c>
      <c r="AD7" s="804">
        <v>2.1349999999999998</v>
      </c>
      <c r="AE7" s="804">
        <v>0</v>
      </c>
      <c r="AF7" s="804">
        <v>0</v>
      </c>
      <c r="AG7" s="804">
        <v>-17.78</v>
      </c>
      <c r="AH7" s="804">
        <v>-17.78</v>
      </c>
      <c r="AI7" s="804">
        <v>0</v>
      </c>
      <c r="AJ7" s="804">
        <v>0</v>
      </c>
      <c r="AK7" s="804">
        <v>0</v>
      </c>
    </row>
    <row r="8" spans="2:37" ht="39" customHeight="1">
      <c r="B8" s="1158"/>
      <c r="C8" s="1160"/>
      <c r="D8" s="1154"/>
      <c r="E8" s="1156"/>
      <c r="F8" s="598"/>
      <c r="N8" s="800">
        <v>58</v>
      </c>
      <c r="O8" s="800" t="s">
        <v>1522</v>
      </c>
      <c r="P8" s="800" t="s">
        <v>161</v>
      </c>
      <c r="R8" s="822">
        <f t="shared" si="0"/>
        <v>0.95640940344020842</v>
      </c>
      <c r="S8" s="800">
        <f t="shared" si="1"/>
        <v>0.58992118461905896</v>
      </c>
      <c r="T8" s="800">
        <v>0</v>
      </c>
      <c r="U8" s="800">
        <v>0</v>
      </c>
      <c r="V8" s="800">
        <f t="shared" si="2"/>
        <v>-4.0000000000048885E-3</v>
      </c>
      <c r="W8" s="800">
        <f t="shared" si="2"/>
        <v>-4.0000000000048885E-3</v>
      </c>
      <c r="X8" s="800">
        <v>0</v>
      </c>
      <c r="Y8" s="800">
        <v>0</v>
      </c>
      <c r="Z8" s="800">
        <v>0</v>
      </c>
      <c r="AA8" s="800" t="b">
        <v>0</v>
      </c>
      <c r="AC8" s="804">
        <f>1/0.065267</f>
        <v>15.321678643112138</v>
      </c>
      <c r="AD8" s="804">
        <v>2.4700000000000002</v>
      </c>
      <c r="AE8" s="804">
        <v>0</v>
      </c>
      <c r="AF8" s="804">
        <v>0</v>
      </c>
      <c r="AG8" s="804">
        <v>-17.78</v>
      </c>
      <c r="AH8" s="804">
        <v>-17.78</v>
      </c>
      <c r="AI8" s="804">
        <v>0</v>
      </c>
      <c r="AJ8" s="804">
        <v>0</v>
      </c>
      <c r="AK8" s="804">
        <v>0</v>
      </c>
    </row>
    <row r="9" spans="2:37" ht="22.5" customHeight="1">
      <c r="B9" s="788" t="s">
        <v>167</v>
      </c>
      <c r="C9" s="789" t="s">
        <v>734</v>
      </c>
      <c r="D9" s="807">
        <f>VLOOKUP(D7,$O$5:$AA$44,5,)</f>
        <v>0.47002627179364698</v>
      </c>
      <c r="E9" s="808">
        <f>VLOOKUP(E7,$O$5:$AA$44,5,)</f>
        <v>0.50991163123955086</v>
      </c>
      <c r="F9" s="599"/>
      <c r="N9" s="800">
        <v>59</v>
      </c>
      <c r="O9" s="800" t="s">
        <v>169</v>
      </c>
      <c r="P9" s="800" t="s">
        <v>161</v>
      </c>
      <c r="R9" s="822">
        <f t="shared" si="0"/>
        <v>7.5218476903870166E-2</v>
      </c>
      <c r="S9" s="800">
        <f t="shared" si="1"/>
        <v>0.24504418438022449</v>
      </c>
      <c r="T9" s="800">
        <v>0</v>
      </c>
      <c r="U9" s="800">
        <v>0</v>
      </c>
      <c r="V9" s="800">
        <f t="shared" si="2"/>
        <v>-4.0000000000048885E-3</v>
      </c>
      <c r="W9" s="800">
        <f t="shared" si="2"/>
        <v>-4.0000000000048885E-3</v>
      </c>
      <c r="X9" s="800">
        <v>0</v>
      </c>
      <c r="Y9" s="800">
        <v>0</v>
      </c>
      <c r="Z9" s="800">
        <v>0</v>
      </c>
      <c r="AA9" s="800" t="b">
        <v>0</v>
      </c>
      <c r="AC9" s="804">
        <v>1.2050000000000001</v>
      </c>
      <c r="AD9" s="804">
        <v>1.026</v>
      </c>
      <c r="AE9" s="804">
        <v>0</v>
      </c>
      <c r="AF9" s="804">
        <v>0</v>
      </c>
      <c r="AG9" s="804">
        <v>-17.78</v>
      </c>
      <c r="AH9" s="804">
        <v>-17.78</v>
      </c>
      <c r="AI9" s="804">
        <v>0</v>
      </c>
      <c r="AJ9" s="804">
        <v>0</v>
      </c>
      <c r="AK9" s="804">
        <v>0</v>
      </c>
    </row>
    <row r="10" spans="2:37" ht="18.75" customHeight="1">
      <c r="B10" s="790" t="s">
        <v>673</v>
      </c>
      <c r="C10" s="791" t="s">
        <v>674</v>
      </c>
      <c r="D10" s="820">
        <f>VLOOKUP(D7,$O$5:$AA$44,4,)</f>
        <v>5.0187265917603002E-2</v>
      </c>
      <c r="E10" s="821">
        <f>VLOOKUP(D7,$O$5:$AA$44,4,)</f>
        <v>5.0187265917603002E-2</v>
      </c>
      <c r="F10" s="605"/>
      <c r="N10" s="800">
        <v>60</v>
      </c>
      <c r="O10" s="800" t="s">
        <v>171</v>
      </c>
      <c r="P10" s="800" t="s">
        <v>161</v>
      </c>
      <c r="R10" s="822">
        <f t="shared" si="0"/>
        <v>7.2721598002496876E-2</v>
      </c>
      <c r="S10" s="800">
        <f t="shared" si="1"/>
        <v>0.25005970862192495</v>
      </c>
      <c r="T10" s="800">
        <v>0</v>
      </c>
      <c r="U10" s="800">
        <v>0</v>
      </c>
      <c r="V10" s="800">
        <f t="shared" si="2"/>
        <v>-4.0000000000048885E-3</v>
      </c>
      <c r="W10" s="800">
        <f t="shared" si="2"/>
        <v>-4.0000000000048885E-3</v>
      </c>
      <c r="X10" s="800">
        <v>0</v>
      </c>
      <c r="Y10" s="800">
        <v>0</v>
      </c>
      <c r="Z10" s="800">
        <v>0</v>
      </c>
      <c r="AA10" s="800" t="b">
        <v>0</v>
      </c>
      <c r="AC10" s="804">
        <v>1.165</v>
      </c>
      <c r="AD10" s="804">
        <v>1.0469999999999999</v>
      </c>
      <c r="AE10" s="804">
        <v>0</v>
      </c>
      <c r="AF10" s="804">
        <v>0</v>
      </c>
      <c r="AG10" s="804">
        <v>-17.78</v>
      </c>
      <c r="AH10" s="804">
        <v>-17.78</v>
      </c>
      <c r="AI10" s="804">
        <v>0</v>
      </c>
      <c r="AJ10" s="804">
        <v>0</v>
      </c>
      <c r="AK10" s="804">
        <v>0</v>
      </c>
    </row>
    <row r="11" spans="2:37">
      <c r="B11" s="1141"/>
      <c r="C11" s="1142"/>
      <c r="D11" s="1142"/>
      <c r="E11" s="1143"/>
      <c r="F11" s="684"/>
      <c r="N11" s="800">
        <v>61</v>
      </c>
      <c r="O11" s="800" t="s">
        <v>173</v>
      </c>
      <c r="P11" s="800" t="s">
        <v>161</v>
      </c>
      <c r="R11" s="822">
        <f t="shared" si="0"/>
        <v>8.3083645443196005E-2</v>
      </c>
      <c r="S11" s="800">
        <f t="shared" si="1"/>
        <v>0.22999761165512297</v>
      </c>
      <c r="T11" s="800">
        <v>0</v>
      </c>
      <c r="U11" s="800">
        <v>0</v>
      </c>
      <c r="V11" s="800">
        <f t="shared" si="2"/>
        <v>-4.0000000000048885E-3</v>
      </c>
      <c r="W11" s="800">
        <f t="shared" si="2"/>
        <v>-4.0000000000048885E-3</v>
      </c>
      <c r="X11" s="800">
        <v>0</v>
      </c>
      <c r="Y11" s="800">
        <v>0</v>
      </c>
      <c r="Z11" s="800">
        <v>0</v>
      </c>
      <c r="AA11" s="800" t="b">
        <v>0</v>
      </c>
      <c r="AC11" s="804">
        <v>1.331</v>
      </c>
      <c r="AD11" s="804">
        <v>0.96299999999999997</v>
      </c>
      <c r="AE11" s="804">
        <v>0</v>
      </c>
      <c r="AF11" s="804">
        <v>0</v>
      </c>
      <c r="AG11" s="804">
        <v>-17.78</v>
      </c>
      <c r="AH11" s="804">
        <v>-17.78</v>
      </c>
      <c r="AI11" s="804">
        <v>0</v>
      </c>
      <c r="AJ11" s="804">
        <v>0</v>
      </c>
      <c r="AK11" s="804">
        <v>0</v>
      </c>
    </row>
    <row r="12" spans="2:37" ht="17">
      <c r="B12" s="773" t="s">
        <v>170</v>
      </c>
      <c r="C12" s="774" t="s">
        <v>581</v>
      </c>
      <c r="D12" s="793"/>
      <c r="E12" s="775"/>
      <c r="F12" s="1151" t="str">
        <f>IF(D13=E13,"","Note: Please make sure the proposed production can be supported by upstream and downstream processes")</f>
        <v/>
      </c>
      <c r="G12" s="1152"/>
      <c r="I12" t="s">
        <v>581</v>
      </c>
      <c r="N12" s="800">
        <v>62</v>
      </c>
      <c r="O12" s="800" t="s">
        <v>174</v>
      </c>
      <c r="P12" s="800" t="s">
        <v>161</v>
      </c>
      <c r="R12" s="822">
        <f t="shared" si="0"/>
        <v>0.1149812734082397</v>
      </c>
      <c r="S12" s="800">
        <f t="shared" si="1"/>
        <v>0.24002866013852397</v>
      </c>
      <c r="T12" s="800">
        <v>0</v>
      </c>
      <c r="U12" s="800">
        <v>0</v>
      </c>
      <c r="V12" s="800">
        <f t="shared" si="2"/>
        <v>-4.0000000000048885E-3</v>
      </c>
      <c r="W12" s="800">
        <f t="shared" si="2"/>
        <v>-4.0000000000048885E-3</v>
      </c>
      <c r="X12" s="800">
        <v>0</v>
      </c>
      <c r="Y12" s="800">
        <v>0</v>
      </c>
      <c r="Z12" s="800">
        <v>0</v>
      </c>
      <c r="AA12" s="800" t="b">
        <v>0</v>
      </c>
      <c r="AC12" s="804">
        <v>1.8420000000000001</v>
      </c>
      <c r="AD12" s="804">
        <v>1.0049999999999999</v>
      </c>
      <c r="AE12" s="804">
        <v>0</v>
      </c>
      <c r="AF12" s="804">
        <v>0</v>
      </c>
      <c r="AG12" s="804">
        <v>-17.78</v>
      </c>
      <c r="AH12" s="804">
        <v>-17.78</v>
      </c>
      <c r="AI12" s="804">
        <v>0</v>
      </c>
      <c r="AJ12" s="804">
        <v>0</v>
      </c>
      <c r="AK12" s="804">
        <v>0</v>
      </c>
    </row>
    <row r="13" spans="2:37" ht="17">
      <c r="B13" s="776" t="s">
        <v>170</v>
      </c>
      <c r="C13" s="777" t="s">
        <v>735</v>
      </c>
      <c r="D13" s="794">
        <f>IF(C12="lbs./hr.",D12,IF(C12="scfm",D12*60*D10,IF(C12="m^3/hr.",D12*35.31*D10,IF(C12="kg./hr.",D12*2.2046))))</f>
        <v>0</v>
      </c>
      <c r="E13" s="778">
        <f>IF(C12="lbs./hr.",E12,IF(C12="scfm",E12*60*D10,IF(C12="m^3/hr.",E12*35.31*D10,IF(C12="kg./hr.",E12*2.2046))))</f>
        <v>0</v>
      </c>
      <c r="F13" s="1151"/>
      <c r="G13" s="1152"/>
      <c r="I13" t="s">
        <v>699</v>
      </c>
      <c r="N13" s="800">
        <v>63</v>
      </c>
      <c r="O13" s="800" t="s">
        <v>164</v>
      </c>
      <c r="P13" s="800" t="s">
        <v>161</v>
      </c>
      <c r="R13" s="822">
        <f t="shared" si="0"/>
        <v>7.2721598002496876E-2</v>
      </c>
      <c r="S13" s="800">
        <f t="shared" si="1"/>
        <v>0.25005970862192495</v>
      </c>
      <c r="T13" s="800">
        <v>0</v>
      </c>
      <c r="U13" s="800">
        <v>0</v>
      </c>
      <c r="V13" s="800">
        <f t="shared" si="2"/>
        <v>-4.0000000000048885E-3</v>
      </c>
      <c r="W13" s="800">
        <f t="shared" si="2"/>
        <v>-4.0000000000048885E-3</v>
      </c>
      <c r="X13" s="800">
        <v>0</v>
      </c>
      <c r="Y13" s="800">
        <v>0</v>
      </c>
      <c r="Z13" s="800">
        <v>0</v>
      </c>
      <c r="AA13" s="800" t="b">
        <v>0</v>
      </c>
      <c r="AC13" s="804">
        <v>1.165</v>
      </c>
      <c r="AD13" s="804">
        <v>1.0469999999999999</v>
      </c>
      <c r="AE13" s="804">
        <v>0</v>
      </c>
      <c r="AF13" s="804">
        <v>0</v>
      </c>
      <c r="AG13" s="804">
        <v>-17.78</v>
      </c>
      <c r="AH13" s="804">
        <v>-17.78</v>
      </c>
      <c r="AI13" s="804">
        <v>0</v>
      </c>
      <c r="AJ13" s="804">
        <v>0</v>
      </c>
      <c r="AK13" s="804">
        <v>0</v>
      </c>
    </row>
    <row r="14" spans="2:37" ht="17">
      <c r="B14" s="776" t="s">
        <v>172</v>
      </c>
      <c r="C14" s="777" t="s">
        <v>7</v>
      </c>
      <c r="D14" s="795"/>
      <c r="E14" s="779"/>
      <c r="F14" s="1151"/>
      <c r="G14" s="1152"/>
      <c r="I14" t="s">
        <v>114</v>
      </c>
      <c r="N14" s="800">
        <v>64</v>
      </c>
      <c r="O14" s="800" t="s">
        <v>176</v>
      </c>
      <c r="P14" s="800" t="s">
        <v>161</v>
      </c>
      <c r="R14" s="822">
        <f t="shared" si="0"/>
        <v>5.6117353308364542E-3</v>
      </c>
      <c r="S14" s="800">
        <v>14.445</v>
      </c>
      <c r="T14" s="800">
        <v>0</v>
      </c>
      <c r="U14" s="800">
        <v>0</v>
      </c>
      <c r="V14" s="800">
        <f t="shared" si="2"/>
        <v>-4.0000000000048885E-3</v>
      </c>
      <c r="W14" s="800">
        <f t="shared" si="2"/>
        <v>-4.0000000000048885E-3</v>
      </c>
      <c r="X14" s="800">
        <v>0</v>
      </c>
      <c r="Y14" s="800">
        <v>0</v>
      </c>
      <c r="Z14" s="800">
        <v>0</v>
      </c>
      <c r="AA14" s="800" t="b">
        <v>0</v>
      </c>
      <c r="AC14" s="804">
        <v>8.9899999999999994E-2</v>
      </c>
      <c r="AD14" s="804">
        <v>14.445</v>
      </c>
      <c r="AE14" s="804">
        <v>0</v>
      </c>
      <c r="AF14" s="804">
        <v>0</v>
      </c>
      <c r="AG14" s="804">
        <v>-17.78</v>
      </c>
      <c r="AH14" s="804">
        <v>-17.78</v>
      </c>
      <c r="AI14" s="804">
        <v>0</v>
      </c>
      <c r="AJ14" s="804">
        <v>0</v>
      </c>
      <c r="AK14" s="804">
        <v>0</v>
      </c>
    </row>
    <row r="15" spans="2:37" ht="17">
      <c r="B15" s="776" t="s">
        <v>116</v>
      </c>
      <c r="C15" s="777" t="s">
        <v>255</v>
      </c>
      <c r="D15" s="796"/>
      <c r="E15" s="780"/>
      <c r="F15" s="1151"/>
      <c r="G15" s="1152"/>
      <c r="I15" t="s">
        <v>696</v>
      </c>
      <c r="O15" s="800" t="s">
        <v>133</v>
      </c>
    </row>
    <row r="16" spans="2:37" ht="17">
      <c r="B16" s="776" t="s">
        <v>149</v>
      </c>
      <c r="C16" s="777" t="s">
        <v>255</v>
      </c>
      <c r="D16" s="796"/>
      <c r="E16" s="780"/>
      <c r="F16" s="605"/>
    </row>
    <row r="17" spans="2:37" ht="17">
      <c r="B17" s="776" t="s">
        <v>147</v>
      </c>
      <c r="C17" s="777" t="s">
        <v>734</v>
      </c>
      <c r="D17" s="796"/>
      <c r="E17" s="780"/>
      <c r="F17" s="605"/>
    </row>
    <row r="18" spans="2:37" ht="17">
      <c r="B18" s="776" t="s">
        <v>177</v>
      </c>
      <c r="C18" s="777" t="s">
        <v>7</v>
      </c>
      <c r="D18" s="795"/>
      <c r="E18" s="779"/>
      <c r="F18" s="607"/>
    </row>
    <row r="19" spans="2:37" ht="17">
      <c r="B19" s="776" t="s">
        <v>122</v>
      </c>
      <c r="C19" s="777" t="s">
        <v>110</v>
      </c>
      <c r="D19" s="796"/>
      <c r="E19" s="780"/>
      <c r="F19" s="605"/>
      <c r="V19" s="800">
        <f>1/7.73371</f>
        <v>0.1293040468287536</v>
      </c>
      <c r="Y19" s="800">
        <f>1/2.91489</f>
        <v>0.3430661191331405</v>
      </c>
    </row>
    <row r="20" spans="2:37" ht="17">
      <c r="B20" s="776" t="s">
        <v>150</v>
      </c>
      <c r="C20" s="777"/>
      <c r="D20" s="797" t="s">
        <v>125</v>
      </c>
      <c r="E20" s="781" t="s">
        <v>125</v>
      </c>
      <c r="F20" s="605"/>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row>
    <row r="21" spans="2:37" ht="18" thickBot="1">
      <c r="B21" s="782" t="s">
        <v>126</v>
      </c>
      <c r="C21" s="783" t="s">
        <v>197</v>
      </c>
      <c r="D21" s="798"/>
      <c r="E21" s="784"/>
      <c r="F21" s="6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row>
    <row r="22" spans="2:37" ht="18" thickBot="1">
      <c r="B22" s="785" t="s">
        <v>128</v>
      </c>
      <c r="C22" s="786" t="s">
        <v>197</v>
      </c>
      <c r="D22" s="799">
        <f>D40</f>
        <v>0</v>
      </c>
      <c r="E22" s="787">
        <f>E40</f>
        <v>0</v>
      </c>
      <c r="F22" s="608"/>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row>
    <row r="23" spans="2:37" s="373" customFormat="1">
      <c r="B23" s="617"/>
      <c r="C23" s="599"/>
      <c r="D23" s="608"/>
      <c r="E23" s="608"/>
      <c r="F23" s="608"/>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row>
    <row r="24" spans="2:37" s="373" customFormat="1">
      <c r="B24" s="617"/>
      <c r="C24" s="599"/>
      <c r="D24" s="608"/>
      <c r="E24" s="608"/>
      <c r="F24" s="608"/>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row>
    <row r="25" spans="2:37" ht="29.25" hidden="1" customHeight="1">
      <c r="B25" s="233"/>
      <c r="C25" s="234"/>
      <c r="D25" s="233"/>
      <c r="E25" s="233"/>
      <c r="F25" s="598"/>
    </row>
    <row r="26" spans="2:37" hidden="1">
      <c r="B26" s="233"/>
      <c r="C26" s="234"/>
      <c r="D26" s="233"/>
      <c r="E26" s="233"/>
      <c r="F26" s="598"/>
    </row>
    <row r="27" spans="2:37" hidden="1">
      <c r="B27" s="233"/>
      <c r="C27" s="234"/>
      <c r="D27" s="233"/>
      <c r="E27" s="233"/>
      <c r="F27" s="598"/>
    </row>
    <row r="28" spans="2:37" ht="17" hidden="1" thickBot="1">
      <c r="B28" s="233"/>
      <c r="C28" s="233"/>
      <c r="D28" s="233"/>
      <c r="E28" s="233"/>
      <c r="F28" s="598"/>
    </row>
    <row r="29" spans="2:37" hidden="1">
      <c r="B29" s="235" t="s">
        <v>130</v>
      </c>
      <c r="C29" s="236"/>
      <c r="D29" s="237"/>
      <c r="E29" s="238"/>
      <c r="F29" s="609"/>
    </row>
    <row r="30" spans="2:37" hidden="1">
      <c r="B30" s="239" t="s">
        <v>178</v>
      </c>
      <c r="C30" s="240" t="str">
        <f>C13</f>
        <v>lb./hr.</v>
      </c>
      <c r="D30" s="241">
        <f>ROUND(D14*D13,0)</f>
        <v>0</v>
      </c>
      <c r="E30" s="242">
        <f>ROUND(E14*E13,0)</f>
        <v>0</v>
      </c>
      <c r="F30" s="610"/>
    </row>
    <row r="31" spans="2:37" hidden="1">
      <c r="B31" s="239" t="s">
        <v>179</v>
      </c>
      <c r="C31" s="240" t="str">
        <f>C13</f>
        <v>lb./hr.</v>
      </c>
      <c r="D31" s="241">
        <f>D13-D30</f>
        <v>0</v>
      </c>
      <c r="E31" s="242">
        <f>E13-E30</f>
        <v>0</v>
      </c>
      <c r="F31" s="610"/>
    </row>
    <row r="32" spans="2:37" hidden="1">
      <c r="B32" s="239"/>
      <c r="C32" s="240"/>
      <c r="D32" s="241"/>
      <c r="E32" s="242"/>
      <c r="F32" s="610"/>
    </row>
    <row r="33" spans="2:37" hidden="1">
      <c r="B33" s="243" t="s">
        <v>153</v>
      </c>
      <c r="C33" s="244"/>
      <c r="D33" s="241"/>
      <c r="E33" s="242"/>
      <c r="F33" s="610"/>
    </row>
    <row r="34" spans="2:37" hidden="1">
      <c r="B34" s="239" t="s">
        <v>180</v>
      </c>
      <c r="C34" s="240" t="str">
        <f>C21</f>
        <v>Btu/hr.</v>
      </c>
      <c r="D34" s="241">
        <f>D17*D30*(D16-D15)</f>
        <v>0</v>
      </c>
      <c r="E34" s="242">
        <f>E17*E30*(E16-E15)</f>
        <v>0</v>
      </c>
      <c r="F34" s="610"/>
    </row>
    <row r="35" spans="2:37" hidden="1">
      <c r="B35" s="239" t="s">
        <v>181</v>
      </c>
      <c r="C35" s="240" t="str">
        <f>C34</f>
        <v>Btu/hr.</v>
      </c>
      <c r="D35" s="241">
        <f>IF(D20="Endothermic",1,-1)*D18*D13*D19</f>
        <v>0</v>
      </c>
      <c r="E35" s="242">
        <f>IF(E20="Endothermic",1,-1)*E18*E13*E19</f>
        <v>0</v>
      </c>
      <c r="F35" s="610"/>
    </row>
    <row r="36" spans="2:37" hidden="1">
      <c r="B36" s="239" t="s">
        <v>182</v>
      </c>
      <c r="C36" s="240" t="str">
        <f>C35</f>
        <v>Btu/hr.</v>
      </c>
      <c r="D36" s="241">
        <f>D9*D31*(D16-D15)</f>
        <v>0</v>
      </c>
      <c r="E36" s="242">
        <f>E9*E31*(E16-E15)</f>
        <v>0</v>
      </c>
      <c r="F36" s="610"/>
    </row>
    <row r="37" spans="2:37" ht="17" hidden="1" thickBot="1">
      <c r="B37" s="245" t="s">
        <v>155</v>
      </c>
      <c r="C37" s="246" t="str">
        <f>C36</f>
        <v>Btu/hr.</v>
      </c>
      <c r="D37" s="247">
        <f>D34+D36+(IF(D20="Endothermic",D35,0))</f>
        <v>0</v>
      </c>
      <c r="E37" s="248">
        <f>E34+E36+(IF(E20="Endothermic",E35,0))</f>
        <v>0</v>
      </c>
      <c r="F37" s="611"/>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row>
    <row r="38" spans="2:37" hidden="1">
      <c r="B38" s="249"/>
      <c r="C38" s="249"/>
      <c r="D38" s="249"/>
      <c r="E38" s="249"/>
      <c r="F38" s="612"/>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row>
    <row r="39" spans="2:37" ht="17" hidden="1" thickBot="1">
      <c r="B39" s="250"/>
      <c r="C39" s="251"/>
      <c r="D39" s="252"/>
      <c r="E39" s="252"/>
      <c r="F39" s="611"/>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row>
    <row r="40" spans="2:37" hidden="1">
      <c r="B40" s="235" t="s">
        <v>183</v>
      </c>
      <c r="C40" s="236" t="str">
        <f>C37</f>
        <v>Btu/hr.</v>
      </c>
      <c r="D40" s="253">
        <f>D37+D21</f>
        <v>0</v>
      </c>
      <c r="E40" s="254">
        <f>E37+E21</f>
        <v>0</v>
      </c>
      <c r="F40" s="611"/>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row>
    <row r="41" spans="2:37" hidden="1">
      <c r="B41" s="255" t="s">
        <v>183</v>
      </c>
      <c r="C41" s="256" t="s">
        <v>110</v>
      </c>
      <c r="D41" s="281" t="str">
        <f>IFERROR(D40/D13,"")</f>
        <v/>
      </c>
      <c r="E41" s="282" t="str">
        <f>IFERROR(E40/E13,"")</f>
        <v/>
      </c>
      <c r="F41" s="61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row>
    <row r="42" spans="2:37" ht="17" hidden="1" thickBot="1">
      <c r="B42" s="245" t="s">
        <v>183</v>
      </c>
      <c r="C42" s="257" t="s">
        <v>695</v>
      </c>
      <c r="D42" s="258" t="str">
        <f>IFERROR(D41*D10,"")</f>
        <v/>
      </c>
      <c r="E42" s="259" t="str">
        <f>IFERROR(E41*E10,"")</f>
        <v/>
      </c>
      <c r="F42" s="614"/>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row>
    <row r="43" spans="2:37" hidden="1">
      <c r="B43" s="260"/>
      <c r="C43" s="260"/>
      <c r="D43" s="261"/>
      <c r="E43" s="261"/>
      <c r="F43" s="611"/>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row>
    <row r="44" spans="2:37" hidden="1">
      <c r="B44" s="262"/>
      <c r="C44" s="262"/>
      <c r="D44" s="262"/>
      <c r="E44" s="262"/>
      <c r="F44" s="597"/>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row>
    <row r="45" spans="2:37" hidden="1">
      <c r="B45" s="262" t="s">
        <v>273</v>
      </c>
      <c r="C45" s="262" t="s">
        <v>7</v>
      </c>
      <c r="D45" s="263">
        <v>0.5</v>
      </c>
      <c r="E45" s="263">
        <v>0.5</v>
      </c>
      <c r="F45" s="615"/>
    </row>
    <row r="46" spans="2:37" hidden="1">
      <c r="B46" s="262"/>
      <c r="C46" s="262"/>
      <c r="D46" s="262"/>
      <c r="E46" s="262"/>
      <c r="F46" s="597"/>
    </row>
    <row r="47" spans="2:37" hidden="1">
      <c r="B47" s="262" t="s">
        <v>277</v>
      </c>
      <c r="C47" s="262" t="s">
        <v>197</v>
      </c>
      <c r="D47" s="264">
        <f>IF(D20="Endothermic", ((D34+D36+D35+D21)/D45), ((D34+D36+D21)/D45+D35))</f>
        <v>0</v>
      </c>
      <c r="E47" s="264">
        <f>IF(E20="Endothermic", ((E34+E36+E35+E21)/E45), ((E34+E36+E21)/E45+E35))</f>
        <v>0</v>
      </c>
      <c r="F47" s="616"/>
      <c r="H47" s="139"/>
    </row>
    <row r="48" spans="2:37" hidden="1">
      <c r="B48" s="262"/>
      <c r="C48" s="262"/>
      <c r="D48" s="262"/>
      <c r="E48" s="262"/>
      <c r="F48" s="597"/>
      <c r="H48" s="139"/>
    </row>
    <row r="49" spans="2:6" hidden="1">
      <c r="B49" s="262"/>
      <c r="C49" s="262"/>
      <c r="D49" s="262"/>
      <c r="E49" s="262"/>
      <c r="F49" s="597"/>
    </row>
    <row r="50" spans="2:6" ht="24" hidden="1" customHeight="1"/>
  </sheetData>
  <mergeCells count="8">
    <mergeCell ref="B6:C6"/>
    <mergeCell ref="B5:C5"/>
    <mergeCell ref="F12:G15"/>
    <mergeCell ref="B11:E11"/>
    <mergeCell ref="D7:D8"/>
    <mergeCell ref="E7:E8"/>
    <mergeCell ref="B7:B8"/>
    <mergeCell ref="C7:C8"/>
  </mergeCells>
  <dataValidations count="4">
    <dataValidation type="decimal" allowBlank="1" showInputMessage="1" showErrorMessage="1" sqref="D18:F18 D14:E14" xr:uid="{00000000-0002-0000-0D00-000000000000}">
      <formula1>0</formula1>
      <formula2>1</formula2>
    </dataValidation>
    <dataValidation type="list" allowBlank="1" showInputMessage="1" showErrorMessage="1" sqref="D20:F20" xr:uid="{00000000-0002-0000-0D00-000002000000}">
      <formula1>"Exothermic, Endothermic"</formula1>
    </dataValidation>
    <dataValidation type="list" allowBlank="1" showInputMessage="1" showErrorMessage="1" sqref="C12" xr:uid="{00000000-0002-0000-0D00-000003000000}">
      <formula1>$I$12:$I$15</formula1>
    </dataValidation>
    <dataValidation type="list" allowBlank="1" showInputMessage="1" showErrorMessage="1" sqref="D7:E8" xr:uid="{B96267BA-3E88-4D28-B8EF-87BB24E514D5}">
      <formula1>$O$5:$O$15</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N47"/>
  <sheetViews>
    <sheetView workbookViewId="0"/>
  </sheetViews>
  <sheetFormatPr baseColWidth="10" defaultColWidth="0" defaultRowHeight="16" zeroHeight="1"/>
  <cols>
    <col min="1" max="1" width="9" style="373" customWidth="1"/>
    <col min="2" max="2" width="26.1640625" style="373" customWidth="1"/>
    <col min="3" max="14" width="9" style="373" customWidth="1"/>
    <col min="15" max="16384" width="9" style="373" hidden="1"/>
  </cols>
  <sheetData>
    <row r="1" spans="1:14">
      <c r="B1" s="1161" t="s">
        <v>1545</v>
      </c>
      <c r="C1" s="1161"/>
      <c r="D1" s="1161"/>
      <c r="E1" s="1161"/>
      <c r="F1" s="1161"/>
      <c r="G1" s="1161"/>
      <c r="H1" s="1161"/>
      <c r="I1" s="1161"/>
      <c r="J1" s="1161"/>
      <c r="K1" s="1161"/>
    </row>
    <row r="2" spans="1:14">
      <c r="B2" s="1161"/>
      <c r="C2" s="1161"/>
      <c r="D2" s="1161"/>
      <c r="E2" s="1161"/>
      <c r="F2" s="1161"/>
      <c r="G2" s="1161"/>
      <c r="H2" s="1161"/>
      <c r="I2" s="1161"/>
      <c r="J2" s="1161"/>
      <c r="K2" s="1161"/>
    </row>
    <row r="3" spans="1:14">
      <c r="B3" s="440"/>
    </row>
    <row r="4" spans="1:14" ht="21">
      <c r="B4" s="430" t="s">
        <v>577</v>
      </c>
    </row>
    <row r="5" spans="1:14" ht="17" thickBot="1"/>
    <row r="6" spans="1:14" s="178" customFormat="1" ht="17">
      <c r="A6" s="433"/>
      <c r="B6" s="191" t="s">
        <v>572</v>
      </c>
      <c r="C6" s="192" t="s">
        <v>573</v>
      </c>
      <c r="D6" s="192" t="s">
        <v>565</v>
      </c>
      <c r="E6" s="192" t="s">
        <v>566</v>
      </c>
      <c r="F6" s="192" t="s">
        <v>567</v>
      </c>
      <c r="G6" s="192" t="s">
        <v>568</v>
      </c>
      <c r="H6" s="192" t="s">
        <v>569</v>
      </c>
      <c r="I6" s="192" t="s">
        <v>570</v>
      </c>
      <c r="J6" s="192" t="s">
        <v>571</v>
      </c>
      <c r="K6" s="193" t="s">
        <v>1576</v>
      </c>
      <c r="L6" s="433"/>
      <c r="M6" s="433"/>
      <c r="N6" s="433"/>
    </row>
    <row r="7" spans="1:14" s="178" customFormat="1">
      <c r="A7" s="433"/>
      <c r="B7" s="194" t="s">
        <v>556</v>
      </c>
      <c r="C7" s="195"/>
      <c r="D7" s="330"/>
      <c r="E7" s="330"/>
      <c r="F7" s="331"/>
      <c r="G7" s="331"/>
      <c r="H7" s="331"/>
      <c r="I7" s="331"/>
      <c r="J7" s="331"/>
      <c r="K7" s="517"/>
      <c r="L7" s="433"/>
      <c r="M7" s="433"/>
      <c r="N7" s="433"/>
    </row>
    <row r="8" spans="1:14" s="178" customFormat="1">
      <c r="A8" s="433"/>
      <c r="B8" s="194" t="s">
        <v>557</v>
      </c>
      <c r="C8" s="196" t="s">
        <v>558</v>
      </c>
      <c r="D8" s="518"/>
      <c r="E8" s="518"/>
      <c r="F8" s="331"/>
      <c r="G8" s="331"/>
      <c r="H8" s="331"/>
      <c r="I8" s="331"/>
      <c r="J8" s="331"/>
      <c r="K8" s="517"/>
      <c r="L8" s="433"/>
      <c r="M8" s="433"/>
      <c r="N8" s="433"/>
    </row>
    <row r="9" spans="1:14" s="178" customFormat="1">
      <c r="A9" s="433"/>
      <c r="B9" s="194" t="s">
        <v>559</v>
      </c>
      <c r="C9" s="196" t="s">
        <v>560</v>
      </c>
      <c r="D9" s="518"/>
      <c r="E9" s="518"/>
      <c r="F9" s="331"/>
      <c r="G9" s="331"/>
      <c r="H9" s="331"/>
      <c r="I9" s="331"/>
      <c r="J9" s="331"/>
      <c r="K9" s="517"/>
      <c r="L9" s="433"/>
      <c r="M9" s="433"/>
      <c r="N9" s="433"/>
    </row>
    <row r="10" spans="1:14" s="178" customFormat="1" ht="28">
      <c r="A10" s="433"/>
      <c r="B10" s="194" t="s">
        <v>561</v>
      </c>
      <c r="C10" s="195"/>
      <c r="D10" s="519"/>
      <c r="E10" s="519"/>
      <c r="F10" s="331"/>
      <c r="G10" s="331"/>
      <c r="H10" s="331"/>
      <c r="I10" s="331"/>
      <c r="J10" s="331"/>
      <c r="K10" s="517"/>
      <c r="L10" s="433"/>
      <c r="M10" s="433"/>
      <c r="N10" s="433"/>
    </row>
    <row r="11" spans="1:14" s="178" customFormat="1" ht="28">
      <c r="A11" s="433"/>
      <c r="B11" s="194" t="s">
        <v>562</v>
      </c>
      <c r="C11" s="195"/>
      <c r="D11" s="518"/>
      <c r="E11" s="518"/>
      <c r="F11" s="331"/>
      <c r="G11" s="331"/>
      <c r="H11" s="331"/>
      <c r="I11" s="331"/>
      <c r="J11" s="331"/>
      <c r="K11" s="517"/>
      <c r="L11" s="433"/>
      <c r="M11" s="433"/>
      <c r="N11" s="433"/>
    </row>
    <row r="12" spans="1:14" s="178" customFormat="1">
      <c r="A12" s="433"/>
      <c r="B12" s="197"/>
      <c r="C12" s="520"/>
      <c r="D12" s="331"/>
      <c r="E12" s="331"/>
      <c r="F12" s="331"/>
      <c r="G12" s="331"/>
      <c r="H12" s="331"/>
      <c r="I12" s="331"/>
      <c r="J12" s="331"/>
      <c r="K12" s="517"/>
      <c r="L12" s="433"/>
      <c r="M12" s="433"/>
      <c r="N12" s="433"/>
    </row>
    <row r="13" spans="1:14" s="178" customFormat="1" ht="18" thickBot="1">
      <c r="A13" s="433"/>
      <c r="B13" s="198" t="s">
        <v>563</v>
      </c>
      <c r="C13" s="521" t="s">
        <v>564</v>
      </c>
      <c r="D13" s="516">
        <f>D7^0.5*D8*D9*D10*(D11/100)/1000</f>
        <v>0</v>
      </c>
      <c r="E13" s="516">
        <f>E7^0.5*E8*E9*E10*(E11/100)/1000</f>
        <v>0</v>
      </c>
      <c r="F13" s="516">
        <f t="shared" ref="F13:K13" si="0">F7^0.5*F8*F9*F10*(F11/100)/1000</f>
        <v>0</v>
      </c>
      <c r="G13" s="516">
        <f t="shared" si="0"/>
        <v>0</v>
      </c>
      <c r="H13" s="516">
        <f t="shared" si="0"/>
        <v>0</v>
      </c>
      <c r="I13" s="516">
        <f t="shared" si="0"/>
        <v>0</v>
      </c>
      <c r="J13" s="516">
        <f t="shared" si="0"/>
        <v>0</v>
      </c>
      <c r="K13" s="653">
        <f t="shared" si="0"/>
        <v>0</v>
      </c>
      <c r="L13" s="433"/>
      <c r="M13" s="433"/>
      <c r="N13" s="433"/>
    </row>
    <row r="14" spans="1:14" s="178" customFormat="1" ht="17" thickBot="1">
      <c r="A14" s="433"/>
      <c r="D14" s="433"/>
      <c r="E14" s="433"/>
      <c r="F14" s="433"/>
      <c r="G14" s="433"/>
      <c r="H14" s="433"/>
      <c r="I14" s="433"/>
      <c r="J14" s="433"/>
      <c r="K14" s="433"/>
      <c r="L14" s="433"/>
      <c r="M14" s="433"/>
      <c r="N14" s="433"/>
    </row>
    <row r="15" spans="1:14" s="178" customFormat="1" ht="18" thickBot="1">
      <c r="A15" s="433"/>
      <c r="B15" s="329" t="s">
        <v>736</v>
      </c>
      <c r="C15" s="525" t="s">
        <v>564</v>
      </c>
      <c r="D15" s="433"/>
      <c r="E15" s="433"/>
      <c r="F15" s="433"/>
      <c r="G15" s="433"/>
      <c r="H15" s="433"/>
      <c r="I15" s="433"/>
      <c r="J15" s="433"/>
      <c r="K15" s="433"/>
      <c r="L15" s="433"/>
      <c r="M15" s="433"/>
      <c r="N15" s="433"/>
    </row>
    <row r="16" spans="1:14" s="178" customFormat="1" ht="17">
      <c r="A16" s="433"/>
      <c r="B16" s="328" t="s">
        <v>575</v>
      </c>
      <c r="C16" s="543">
        <v>0</v>
      </c>
      <c r="D16" s="433"/>
      <c r="E16" s="433"/>
      <c r="F16" s="433"/>
      <c r="G16" s="433"/>
      <c r="H16" s="433"/>
      <c r="I16" s="433"/>
      <c r="J16" s="433"/>
      <c r="K16" s="433"/>
      <c r="L16" s="433"/>
      <c r="M16" s="433"/>
      <c r="N16" s="433"/>
    </row>
    <row r="17" spans="1:14" s="178" customFormat="1" ht="17">
      <c r="A17" s="433"/>
      <c r="B17" s="326" t="s">
        <v>574</v>
      </c>
      <c r="C17" s="544">
        <v>0</v>
      </c>
      <c r="D17" s="433"/>
      <c r="E17" s="433"/>
      <c r="F17" s="433"/>
      <c r="G17" s="433"/>
      <c r="H17" s="433"/>
      <c r="I17" s="433"/>
      <c r="J17" s="433"/>
      <c r="K17" s="433"/>
      <c r="L17" s="433"/>
      <c r="M17" s="433"/>
      <c r="N17" s="433"/>
    </row>
    <row r="18" spans="1:14" s="178" customFormat="1" ht="17">
      <c r="A18" s="433"/>
      <c r="B18" s="326" t="s">
        <v>737</v>
      </c>
      <c r="C18" s="544">
        <v>0</v>
      </c>
      <c r="D18" s="433"/>
      <c r="E18" s="433"/>
      <c r="F18" s="433"/>
      <c r="G18" s="433"/>
      <c r="H18" s="433"/>
      <c r="I18" s="433"/>
      <c r="J18" s="433"/>
      <c r="K18" s="433"/>
      <c r="L18" s="433"/>
      <c r="M18" s="433"/>
      <c r="N18" s="433"/>
    </row>
    <row r="19" spans="1:14" s="178" customFormat="1" ht="18" thickBot="1">
      <c r="A19" s="433"/>
      <c r="B19" s="327" t="s">
        <v>576</v>
      </c>
      <c r="C19" s="545">
        <v>0</v>
      </c>
      <c r="D19" s="433"/>
      <c r="E19" s="433"/>
      <c r="F19" s="433"/>
      <c r="G19" s="433"/>
      <c r="H19" s="433"/>
      <c r="I19" s="433"/>
      <c r="J19" s="433"/>
      <c r="K19" s="433"/>
      <c r="L19" s="433"/>
      <c r="M19" s="433"/>
      <c r="N19" s="433"/>
    </row>
    <row r="20" spans="1:14" s="178" customFormat="1">
      <c r="A20" s="433"/>
      <c r="B20" s="433"/>
      <c r="C20" s="433"/>
      <c r="D20" s="433"/>
      <c r="E20" s="433"/>
      <c r="F20" s="433"/>
      <c r="G20" s="433"/>
      <c r="H20" s="433"/>
      <c r="I20" s="433"/>
      <c r="J20" s="433"/>
      <c r="K20" s="433"/>
      <c r="L20" s="433"/>
      <c r="M20" s="433"/>
      <c r="N20" s="433"/>
    </row>
    <row r="21" spans="1:14" s="178" customFormat="1">
      <c r="A21" s="433"/>
      <c r="B21" s="433"/>
      <c r="C21" s="433"/>
      <c r="D21" s="433"/>
      <c r="E21" s="433"/>
      <c r="F21" s="433"/>
      <c r="G21" s="433"/>
      <c r="H21" s="433"/>
      <c r="I21" s="433"/>
      <c r="J21" s="433"/>
      <c r="K21" s="433"/>
      <c r="L21" s="433"/>
      <c r="M21" s="433"/>
      <c r="N21" s="433"/>
    </row>
    <row r="22" spans="1:14" s="178" customFormat="1">
      <c r="A22" s="433"/>
      <c r="B22" s="433"/>
      <c r="C22" s="433"/>
      <c r="D22" s="433"/>
      <c r="E22" s="433"/>
      <c r="F22" s="433"/>
      <c r="G22" s="433"/>
      <c r="H22" s="433"/>
      <c r="I22" s="433"/>
      <c r="J22" s="433"/>
      <c r="K22" s="433"/>
      <c r="L22" s="433"/>
      <c r="M22" s="433"/>
      <c r="N22" s="433"/>
    </row>
    <row r="23" spans="1:14" s="178" customFormat="1" ht="17">
      <c r="A23" s="433"/>
      <c r="B23" s="540" t="s">
        <v>738</v>
      </c>
      <c r="C23" s="541" t="s">
        <v>564</v>
      </c>
      <c r="D23" s="674">
        <f>SUM(D13:K13) + SUM(C16:C19)</f>
        <v>0</v>
      </c>
      <c r="E23" s="433"/>
      <c r="F23" s="433"/>
      <c r="G23" s="433"/>
      <c r="H23" s="433"/>
      <c r="I23" s="433"/>
      <c r="J23" s="433"/>
      <c r="K23" s="433"/>
      <c r="L23" s="433"/>
      <c r="M23" s="433"/>
      <c r="N23" s="433"/>
    </row>
    <row r="24" spans="1:14" s="178" customFormat="1">
      <c r="A24" s="433"/>
      <c r="B24" s="433"/>
      <c r="C24" s="433"/>
      <c r="D24" s="433"/>
      <c r="E24" s="433"/>
      <c r="F24" s="433"/>
      <c r="G24" s="433"/>
      <c r="H24" s="433"/>
      <c r="I24" s="433"/>
      <c r="J24" s="433"/>
      <c r="K24" s="433"/>
      <c r="L24" s="433"/>
      <c r="M24" s="433"/>
      <c r="N24" s="433"/>
    </row>
    <row r="25" spans="1:14" s="178" customFormat="1">
      <c r="A25" s="433"/>
      <c r="B25" s="524"/>
      <c r="C25" s="433"/>
      <c r="D25" s="433"/>
      <c r="E25" s="433"/>
      <c r="F25" s="433"/>
      <c r="G25" s="433"/>
      <c r="H25" s="433"/>
      <c r="I25" s="433"/>
      <c r="J25" s="433"/>
      <c r="K25" s="433"/>
      <c r="L25" s="433"/>
      <c r="M25" s="433"/>
      <c r="N25" s="433"/>
    </row>
    <row r="26" spans="1:14" customFormat="1">
      <c r="A26" s="373"/>
      <c r="B26" s="373"/>
      <c r="C26" s="373"/>
      <c r="D26" s="373"/>
      <c r="E26" s="373"/>
      <c r="F26" s="373"/>
      <c r="G26" s="373"/>
      <c r="H26" s="373"/>
      <c r="I26" s="373"/>
      <c r="J26" s="373"/>
      <c r="K26" s="373"/>
      <c r="L26" s="373"/>
      <c r="M26" s="373"/>
      <c r="N26" s="373"/>
    </row>
    <row r="27" spans="1:14" customFormat="1" ht="21">
      <c r="A27" s="373"/>
      <c r="B27" s="430" t="s">
        <v>578</v>
      </c>
      <c r="C27" s="522"/>
      <c r="D27" s="373"/>
      <c r="E27" s="373"/>
      <c r="F27" s="373"/>
      <c r="G27" s="373"/>
      <c r="H27" s="373"/>
      <c r="I27" s="373"/>
      <c r="J27" s="373"/>
      <c r="K27" s="373"/>
      <c r="L27" s="373"/>
      <c r="M27" s="373"/>
      <c r="N27" s="373"/>
    </row>
    <row r="28" spans="1:14" customFormat="1" ht="17" thickBot="1">
      <c r="A28" s="373"/>
      <c r="B28" s="373"/>
      <c r="C28" s="373"/>
      <c r="D28" s="373"/>
      <c r="E28" s="373"/>
      <c r="F28" s="373"/>
      <c r="G28" s="373"/>
      <c r="H28" s="373"/>
      <c r="I28" s="373"/>
      <c r="J28" s="373"/>
      <c r="K28" s="373"/>
      <c r="L28" s="373"/>
      <c r="M28" s="373"/>
      <c r="N28" s="373"/>
    </row>
    <row r="29" spans="1:14" customFormat="1" ht="17">
      <c r="A29" s="373"/>
      <c r="B29" s="526" t="s">
        <v>572</v>
      </c>
      <c r="C29" s="18" t="s">
        <v>573</v>
      </c>
      <c r="D29" s="530" t="s">
        <v>565</v>
      </c>
      <c r="E29" s="192" t="s">
        <v>566</v>
      </c>
      <c r="F29" s="192" t="s">
        <v>567</v>
      </c>
      <c r="G29" s="192" t="s">
        <v>568</v>
      </c>
      <c r="H29" s="192" t="s">
        <v>569</v>
      </c>
      <c r="I29" s="192" t="s">
        <v>570</v>
      </c>
      <c r="J29" s="192" t="s">
        <v>571</v>
      </c>
      <c r="K29" s="193" t="s">
        <v>1576</v>
      </c>
      <c r="L29" s="373"/>
      <c r="M29" s="373"/>
      <c r="N29" s="373"/>
    </row>
    <row r="30" spans="1:14" customFormat="1">
      <c r="A30" s="373"/>
      <c r="B30" s="527" t="s">
        <v>556</v>
      </c>
      <c r="C30" s="536"/>
      <c r="D30" s="531"/>
      <c r="E30" s="330"/>
      <c r="F30" s="331"/>
      <c r="G30" s="331"/>
      <c r="H30" s="331"/>
      <c r="I30" s="331"/>
      <c r="J30" s="331"/>
      <c r="K30" s="517"/>
      <c r="L30" s="373"/>
      <c r="M30" s="373"/>
      <c r="N30" s="373"/>
    </row>
    <row r="31" spans="1:14" customFormat="1">
      <c r="A31" s="373"/>
      <c r="B31" s="527" t="s">
        <v>557</v>
      </c>
      <c r="C31" s="537" t="s">
        <v>558</v>
      </c>
      <c r="D31" s="532"/>
      <c r="E31" s="518"/>
      <c r="F31" s="331"/>
      <c r="G31" s="331"/>
      <c r="H31" s="331"/>
      <c r="I31" s="331"/>
      <c r="J31" s="331"/>
      <c r="K31" s="517"/>
      <c r="L31" s="373"/>
      <c r="M31" s="373"/>
      <c r="N31" s="373"/>
    </row>
    <row r="32" spans="1:14" customFormat="1">
      <c r="A32" s="373"/>
      <c r="B32" s="527" t="s">
        <v>559</v>
      </c>
      <c r="C32" s="537" t="s">
        <v>560</v>
      </c>
      <c r="D32" s="532"/>
      <c r="E32" s="518"/>
      <c r="F32" s="331"/>
      <c r="G32" s="331"/>
      <c r="H32" s="331"/>
      <c r="I32" s="331"/>
      <c r="J32" s="331"/>
      <c r="K32" s="517"/>
      <c r="L32" s="373"/>
      <c r="M32" s="373"/>
      <c r="N32" s="373"/>
    </row>
    <row r="33" spans="1:14" customFormat="1" ht="28">
      <c r="A33" s="373"/>
      <c r="B33" s="527" t="s">
        <v>561</v>
      </c>
      <c r="C33" s="536"/>
      <c r="D33" s="533"/>
      <c r="E33" s="519"/>
      <c r="F33" s="331"/>
      <c r="G33" s="331"/>
      <c r="H33" s="331"/>
      <c r="I33" s="331"/>
      <c r="J33" s="331"/>
      <c r="K33" s="517"/>
      <c r="L33" s="373"/>
      <c r="M33" s="373"/>
      <c r="N33" s="373"/>
    </row>
    <row r="34" spans="1:14" customFormat="1" ht="28">
      <c r="A34" s="373"/>
      <c r="B34" s="527" t="s">
        <v>562</v>
      </c>
      <c r="C34" s="536"/>
      <c r="D34" s="532"/>
      <c r="E34" s="518"/>
      <c r="F34" s="331"/>
      <c r="G34" s="331"/>
      <c r="H34" s="331"/>
      <c r="I34" s="331"/>
      <c r="J34" s="331"/>
      <c r="K34" s="517"/>
      <c r="L34" s="373"/>
      <c r="M34" s="373"/>
      <c r="N34" s="373"/>
    </row>
    <row r="35" spans="1:14" customFormat="1">
      <c r="A35" s="373"/>
      <c r="B35" s="528"/>
      <c r="C35" s="538"/>
      <c r="D35" s="534"/>
      <c r="E35" s="331"/>
      <c r="F35" s="331"/>
      <c r="G35" s="331"/>
      <c r="H35" s="331"/>
      <c r="I35" s="331"/>
      <c r="J35" s="331"/>
      <c r="K35" s="517"/>
      <c r="L35" s="373"/>
      <c r="M35" s="373"/>
      <c r="N35" s="373"/>
    </row>
    <row r="36" spans="1:14" customFormat="1" ht="18" thickBot="1">
      <c r="A36" s="373"/>
      <c r="B36" s="529" t="s">
        <v>563</v>
      </c>
      <c r="C36" s="539" t="s">
        <v>564</v>
      </c>
      <c r="D36" s="535">
        <f>D30^0.5*D31*D32*D33*(D34/100)/1000</f>
        <v>0</v>
      </c>
      <c r="E36" s="516">
        <f>E30^0.5*E31*E32*E33*(E34/100)/1000</f>
        <v>0</v>
      </c>
      <c r="F36" s="516">
        <f t="shared" ref="F36:K36" si="1">F30^0.5*F31*F32*F33*(F34/100)/1000</f>
        <v>0</v>
      </c>
      <c r="G36" s="516">
        <f t="shared" si="1"/>
        <v>0</v>
      </c>
      <c r="H36" s="516">
        <f t="shared" si="1"/>
        <v>0</v>
      </c>
      <c r="I36" s="516">
        <f t="shared" si="1"/>
        <v>0</v>
      </c>
      <c r="J36" s="516">
        <f t="shared" si="1"/>
        <v>0</v>
      </c>
      <c r="K36" s="653">
        <f t="shared" si="1"/>
        <v>0</v>
      </c>
      <c r="L36" s="373"/>
      <c r="M36" s="373"/>
      <c r="N36" s="373"/>
    </row>
    <row r="37" spans="1:14" ht="17" thickBot="1">
      <c r="B37" s="178"/>
      <c r="C37" s="178"/>
      <c r="D37" s="433"/>
      <c r="E37" s="433"/>
      <c r="F37" s="433"/>
      <c r="G37" s="433"/>
      <c r="H37" s="433"/>
      <c r="I37" s="433"/>
      <c r="J37" s="433"/>
      <c r="K37" s="433"/>
    </row>
    <row r="38" spans="1:14" ht="18" thickBot="1">
      <c r="B38" s="329" t="s">
        <v>736</v>
      </c>
      <c r="C38" s="525" t="s">
        <v>564</v>
      </c>
      <c r="D38" s="433"/>
      <c r="E38" s="433"/>
      <c r="F38" s="433"/>
      <c r="G38" s="433"/>
      <c r="H38" s="433"/>
      <c r="I38" s="433"/>
      <c r="J38" s="433"/>
      <c r="K38" s="433"/>
    </row>
    <row r="39" spans="1:14" ht="17">
      <c r="B39" s="328" t="s">
        <v>575</v>
      </c>
      <c r="C39" s="543">
        <v>0</v>
      </c>
      <c r="D39" s="433"/>
      <c r="E39" s="433"/>
      <c r="F39" s="433"/>
      <c r="G39" s="433"/>
      <c r="H39" s="433"/>
      <c r="I39" s="433"/>
      <c r="J39" s="433"/>
      <c r="K39" s="433"/>
    </row>
    <row r="40" spans="1:14" ht="17">
      <c r="B40" s="326" t="s">
        <v>574</v>
      </c>
      <c r="C40" s="544">
        <v>0</v>
      </c>
      <c r="D40" s="433"/>
      <c r="E40" s="433"/>
      <c r="F40" s="433"/>
      <c r="G40" s="433"/>
      <c r="H40" s="433"/>
      <c r="I40" s="433"/>
      <c r="J40" s="433"/>
      <c r="K40" s="433"/>
    </row>
    <row r="41" spans="1:14" ht="17">
      <c r="B41" s="326" t="s">
        <v>737</v>
      </c>
      <c r="C41" s="544">
        <v>0</v>
      </c>
      <c r="D41" s="433"/>
      <c r="E41" s="433"/>
      <c r="F41" s="433"/>
      <c r="G41" s="433"/>
      <c r="H41" s="433"/>
      <c r="I41" s="433"/>
      <c r="J41" s="433"/>
      <c r="K41" s="433"/>
    </row>
    <row r="42" spans="1:14" ht="18" thickBot="1">
      <c r="B42" s="327" t="s">
        <v>576</v>
      </c>
      <c r="C42" s="545">
        <v>0</v>
      </c>
      <c r="D42" s="433"/>
      <c r="E42" s="433"/>
      <c r="F42" s="433"/>
      <c r="G42" s="433"/>
      <c r="H42" s="433"/>
      <c r="I42" s="433"/>
      <c r="J42" s="433"/>
      <c r="K42" s="433"/>
    </row>
    <row r="43" spans="1:14">
      <c r="B43" s="433"/>
      <c r="C43" s="433"/>
      <c r="D43" s="433"/>
      <c r="E43" s="433"/>
      <c r="F43" s="433"/>
      <c r="G43" s="433"/>
      <c r="H43" s="433"/>
      <c r="I43" s="433"/>
      <c r="J43" s="433"/>
      <c r="K43" s="433"/>
    </row>
    <row r="44" spans="1:14">
      <c r="B44" s="433"/>
      <c r="C44" s="433"/>
      <c r="D44" s="433"/>
      <c r="E44" s="433"/>
      <c r="F44" s="433"/>
      <c r="G44" s="433"/>
      <c r="H44" s="433"/>
      <c r="I44" s="433"/>
      <c r="J44" s="433"/>
      <c r="K44" s="433"/>
    </row>
    <row r="45" spans="1:14">
      <c r="B45" s="433"/>
      <c r="C45" s="433"/>
      <c r="D45" s="433"/>
      <c r="E45" s="433"/>
      <c r="F45" s="433"/>
      <c r="G45" s="433"/>
      <c r="H45" s="433"/>
      <c r="I45" s="433"/>
      <c r="J45" s="433"/>
      <c r="K45" s="433"/>
    </row>
    <row r="46" spans="1:14" ht="17">
      <c r="B46" s="542" t="s">
        <v>738</v>
      </c>
      <c r="C46" s="439" t="s">
        <v>564</v>
      </c>
      <c r="D46" s="674">
        <f>SUM(D36:K36) + SUM(C39:C42)</f>
        <v>0</v>
      </c>
      <c r="E46" s="433"/>
      <c r="F46" s="433"/>
      <c r="G46" s="433"/>
      <c r="H46" s="433"/>
      <c r="I46" s="433"/>
      <c r="J46" s="433"/>
      <c r="K46" s="433"/>
    </row>
    <row r="47" spans="1:14"/>
  </sheetData>
  <mergeCells count="1">
    <mergeCell ref="B1:K2"/>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M45"/>
  <sheetViews>
    <sheetView workbookViewId="0">
      <selection activeCell="C22" sqref="C22"/>
    </sheetView>
  </sheetViews>
  <sheetFormatPr baseColWidth="10" defaultColWidth="0" defaultRowHeight="16" zeroHeight="1"/>
  <cols>
    <col min="1" max="1" width="9" style="373" customWidth="1"/>
    <col min="2" max="2" width="26.1640625" style="373" customWidth="1"/>
    <col min="3" max="3" width="9.5" style="373" customWidth="1"/>
    <col min="4" max="4" width="10.5" style="373" customWidth="1"/>
    <col min="5" max="5" width="12.6640625" style="373" customWidth="1"/>
    <col min="6" max="6" width="10.83203125" style="373" customWidth="1"/>
    <col min="7" max="13" width="9" style="373" customWidth="1"/>
    <col min="14" max="16384" width="9" style="373" hidden="1"/>
  </cols>
  <sheetData>
    <row r="1" spans="2:9">
      <c r="B1" s="1161" t="s">
        <v>1577</v>
      </c>
      <c r="C1" s="1161"/>
      <c r="D1" s="1161"/>
      <c r="E1" s="1161"/>
      <c r="F1" s="1161"/>
      <c r="G1" s="1161"/>
      <c r="H1" s="1161"/>
      <c r="I1" s="1161"/>
    </row>
    <row r="2" spans="2:9">
      <c r="B2" s="1161"/>
      <c r="C2" s="1161"/>
      <c r="D2" s="1161"/>
      <c r="E2" s="1161"/>
      <c r="F2" s="1161"/>
      <c r="G2" s="1161"/>
      <c r="H2" s="1161"/>
      <c r="I2" s="1161"/>
    </row>
    <row r="3" spans="2:9">
      <c r="B3" s="440"/>
    </row>
    <row r="4" spans="2:9" ht="22" thickBot="1">
      <c r="B4" s="430" t="s">
        <v>577</v>
      </c>
    </row>
    <row r="5" spans="2:9" s="433" customFormat="1" ht="51">
      <c r="B5" s="547" t="s">
        <v>572</v>
      </c>
      <c r="C5" s="17" t="s">
        <v>573</v>
      </c>
      <c r="D5" s="850" t="s">
        <v>579</v>
      </c>
      <c r="E5" s="851" t="s">
        <v>806</v>
      </c>
      <c r="F5" s="851" t="s">
        <v>739</v>
      </c>
      <c r="G5" s="851" t="s">
        <v>807</v>
      </c>
      <c r="H5" s="851" t="s">
        <v>1589</v>
      </c>
      <c r="I5" s="852" t="s">
        <v>1590</v>
      </c>
    </row>
    <row r="6" spans="2:9" s="433" customFormat="1">
      <c r="B6" s="548" t="s">
        <v>582</v>
      </c>
      <c r="C6" s="536" t="s">
        <v>580</v>
      </c>
      <c r="D6" s="531"/>
      <c r="E6" s="546"/>
      <c r="F6" s="546"/>
      <c r="G6" s="331"/>
      <c r="H6" s="331"/>
      <c r="I6" s="546"/>
    </row>
    <row r="7" spans="2:9" s="433" customFormat="1">
      <c r="B7" s="548" t="s">
        <v>583</v>
      </c>
      <c r="C7" s="536" t="s">
        <v>581</v>
      </c>
      <c r="D7" s="552"/>
      <c r="E7" s="330"/>
      <c r="F7" s="331"/>
      <c r="G7" s="546"/>
      <c r="H7" s="546"/>
      <c r="I7" s="517"/>
    </row>
    <row r="8" spans="2:9" s="433" customFormat="1" ht="28">
      <c r="B8" s="548" t="s">
        <v>584</v>
      </c>
      <c r="C8" s="537" t="s">
        <v>585</v>
      </c>
      <c r="D8" s="550"/>
      <c r="E8" s="332"/>
      <c r="F8" s="333"/>
      <c r="G8" s="333"/>
      <c r="H8" s="333"/>
      <c r="I8" s="553"/>
    </row>
    <row r="9" spans="2:9" s="433" customFormat="1" ht="28">
      <c r="B9" s="548" t="s">
        <v>562</v>
      </c>
      <c r="C9" s="536"/>
      <c r="D9" s="551"/>
      <c r="E9" s="334"/>
      <c r="F9" s="335"/>
      <c r="G9" s="335"/>
      <c r="H9" s="335"/>
      <c r="I9" s="554"/>
    </row>
    <row r="10" spans="2:9" s="433" customFormat="1" ht="18" thickBot="1">
      <c r="B10" s="555" t="s">
        <v>586</v>
      </c>
      <c r="C10" s="556"/>
      <c r="D10" s="557">
        <f>D9*60*D8*D6/1000</f>
        <v>0</v>
      </c>
      <c r="E10" s="558">
        <f>E7*60*E8*E9/1000</f>
        <v>0</v>
      </c>
      <c r="F10" s="558">
        <f>F7*60*F8*F9/1000</f>
        <v>0</v>
      </c>
      <c r="G10" s="557">
        <f>G9*60*G8*G6/1000</f>
        <v>0</v>
      </c>
      <c r="H10" s="557">
        <f>H9*60*H8*H6/1000</f>
        <v>0</v>
      </c>
      <c r="I10" s="559">
        <f>I7*60*I8*I9/1000</f>
        <v>0</v>
      </c>
    </row>
    <row r="11" spans="2:9" s="433" customFormat="1"/>
    <row r="12" spans="2:9" s="433" customFormat="1">
      <c r="B12" s="562" t="s">
        <v>740</v>
      </c>
      <c r="C12" s="1162" t="s">
        <v>588</v>
      </c>
      <c r="D12" s="1163"/>
      <c r="E12" s="675">
        <f>SUM(D10:I10)</f>
        <v>0</v>
      </c>
    </row>
    <row r="13" spans="2:9" s="433" customFormat="1"/>
    <row r="14" spans="2:9" s="433" customFormat="1" ht="17">
      <c r="B14" s="385" t="s">
        <v>587</v>
      </c>
    </row>
    <row r="15" spans="2:9" s="433" customFormat="1">
      <c r="B15" s="1164" t="s">
        <v>1578</v>
      </c>
      <c r="C15" s="1165"/>
      <c r="D15" s="1165"/>
      <c r="E15" s="1165"/>
      <c r="F15" s="1166"/>
    </row>
    <row r="16" spans="2:9" s="433" customFormat="1" ht="31.25" customHeight="1">
      <c r="B16" s="1167" t="s">
        <v>1579</v>
      </c>
      <c r="C16" s="1168"/>
      <c r="D16" s="1168"/>
      <c r="E16" s="1168"/>
      <c r="F16" s="1169"/>
    </row>
    <row r="17" spans="2:9" s="433" customFormat="1">
      <c r="B17" s="967"/>
      <c r="C17" s="967"/>
      <c r="D17" s="967"/>
      <c r="E17" s="967"/>
      <c r="F17" s="967"/>
    </row>
    <row r="18" spans="2:9" s="433" customFormat="1"/>
    <row r="19" spans="2:9" s="433" customFormat="1" ht="22" thickBot="1">
      <c r="B19" s="430" t="s">
        <v>578</v>
      </c>
      <c r="C19" s="373"/>
      <c r="D19" s="373"/>
      <c r="E19" s="373"/>
      <c r="F19" s="373"/>
      <c r="G19" s="373"/>
      <c r="H19" s="373"/>
      <c r="I19" s="373"/>
    </row>
    <row r="20" spans="2:9" ht="51">
      <c r="B20" s="547" t="s">
        <v>572</v>
      </c>
      <c r="C20" s="17" t="s">
        <v>573</v>
      </c>
      <c r="D20" s="850" t="s">
        <v>579</v>
      </c>
      <c r="E20" s="851" t="s">
        <v>806</v>
      </c>
      <c r="F20" s="851" t="s">
        <v>739</v>
      </c>
      <c r="G20" s="851" t="s">
        <v>1580</v>
      </c>
      <c r="H20" s="851" t="s">
        <v>1581</v>
      </c>
      <c r="I20" s="852" t="s">
        <v>1582</v>
      </c>
    </row>
    <row r="21" spans="2:9">
      <c r="B21" s="548" t="s">
        <v>582</v>
      </c>
      <c r="C21" s="536" t="s">
        <v>580</v>
      </c>
      <c r="D21" s="531"/>
      <c r="E21" s="546"/>
      <c r="F21" s="546"/>
      <c r="G21" s="331"/>
      <c r="H21" s="331"/>
      <c r="I21" s="517"/>
    </row>
    <row r="22" spans="2:9">
      <c r="B22" s="548" t="s">
        <v>583</v>
      </c>
      <c r="C22" s="536" t="s">
        <v>581</v>
      </c>
      <c r="D22" s="549"/>
      <c r="E22" s="330"/>
      <c r="F22" s="331"/>
      <c r="G22" s="331"/>
      <c r="H22" s="331"/>
      <c r="I22" s="517"/>
    </row>
    <row r="23" spans="2:9" ht="28">
      <c r="B23" s="548" t="s">
        <v>584</v>
      </c>
      <c r="C23" s="537" t="s">
        <v>585</v>
      </c>
      <c r="D23" s="550"/>
      <c r="E23" s="332"/>
      <c r="F23" s="333"/>
      <c r="G23" s="333"/>
      <c r="H23" s="333"/>
      <c r="I23" s="553"/>
    </row>
    <row r="24" spans="2:9" ht="28">
      <c r="B24" s="548" t="s">
        <v>562</v>
      </c>
      <c r="C24" s="536"/>
      <c r="D24" s="551"/>
      <c r="E24" s="334"/>
      <c r="F24" s="335"/>
      <c r="G24" s="335"/>
      <c r="H24" s="335"/>
      <c r="I24" s="554"/>
    </row>
    <row r="25" spans="2:9" ht="18" thickBot="1">
      <c r="B25" s="555" t="s">
        <v>586</v>
      </c>
      <c r="C25" s="556"/>
      <c r="D25" s="557">
        <f>D24*60*D23*D21/1000</f>
        <v>0</v>
      </c>
      <c r="E25" s="558">
        <f>E22*60*E23*E24/1000</f>
        <v>0</v>
      </c>
      <c r="F25" s="558">
        <f>F22*60*F23*F24/1000</f>
        <v>0</v>
      </c>
      <c r="G25" s="560"/>
      <c r="H25" s="560"/>
      <c r="I25" s="561"/>
    </row>
    <row r="26" spans="2:9">
      <c r="B26" s="433"/>
      <c r="C26" s="433"/>
      <c r="D26" s="433"/>
      <c r="E26" s="433"/>
      <c r="F26" s="433"/>
      <c r="G26" s="433"/>
      <c r="H26" s="433"/>
      <c r="I26" s="433"/>
    </row>
    <row r="27" spans="2:9">
      <c r="B27" s="562" t="s">
        <v>740</v>
      </c>
      <c r="C27" s="1162" t="s">
        <v>588</v>
      </c>
      <c r="D27" s="1163"/>
      <c r="E27" s="675">
        <f>SUM(D25:I25)</f>
        <v>0</v>
      </c>
      <c r="F27" s="433"/>
      <c r="G27" s="433"/>
      <c r="H27" s="433"/>
      <c r="I27" s="433"/>
    </row>
    <row r="28" spans="2:9"/>
    <row r="29" spans="2:9" ht="15.5" customHeight="1"/>
    <row r="30" spans="2:9" ht="17.25" customHeight="1">
      <c r="B30" s="433"/>
      <c r="C30" s="433"/>
      <c r="D30" s="433"/>
      <c r="E30" s="433"/>
      <c r="F30" s="433"/>
      <c r="G30" s="433"/>
      <c r="H30" s="433"/>
      <c r="I30" s="433"/>
    </row>
    <row r="31" spans="2:9" ht="19.5" customHeight="1">
      <c r="B31" s="433"/>
      <c r="C31" s="433"/>
      <c r="D31" s="433"/>
      <c r="E31" s="433"/>
      <c r="F31" s="433"/>
      <c r="G31" s="433"/>
      <c r="H31" s="433"/>
      <c r="I31" s="433"/>
    </row>
    <row r="32" spans="2:9" hidden="1">
      <c r="B32" s="433"/>
      <c r="C32" s="433"/>
      <c r="D32" s="433"/>
      <c r="E32" s="433"/>
      <c r="F32" s="433"/>
      <c r="G32" s="433"/>
      <c r="H32" s="433"/>
      <c r="I32" s="433"/>
    </row>
    <row r="33" spans="2:9" hidden="1">
      <c r="B33" s="523"/>
      <c r="C33" s="433"/>
      <c r="D33" s="406"/>
      <c r="E33" s="433"/>
      <c r="F33" s="433"/>
      <c r="G33" s="433"/>
      <c r="H33" s="433"/>
      <c r="I33" s="433"/>
    </row>
    <row r="45" spans="2:9"/>
  </sheetData>
  <mergeCells count="6">
    <mergeCell ref="B1:I2"/>
    <mergeCell ref="C27:D27"/>
    <mergeCell ref="B15:F15"/>
    <mergeCell ref="B16:F16"/>
    <mergeCell ref="B17:F17"/>
    <mergeCell ref="C12:D1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3"/>
  <sheetViews>
    <sheetView workbookViewId="0">
      <selection activeCell="F11" sqref="F11"/>
    </sheetView>
  </sheetViews>
  <sheetFormatPr baseColWidth="10" defaultColWidth="0" defaultRowHeight="16" zeroHeight="1"/>
  <cols>
    <col min="1" max="1" width="9" style="373" customWidth="1"/>
    <col min="2" max="2" width="26.1640625" customWidth="1"/>
    <col min="3" max="3" width="10.6640625" customWidth="1"/>
    <col min="4" max="4" width="16" customWidth="1"/>
    <col min="5" max="6" width="10.6640625" customWidth="1"/>
    <col min="7" max="7" width="13.33203125" customWidth="1"/>
    <col min="8" max="8" width="10.6640625" customWidth="1"/>
    <col min="9" max="12" width="9" customWidth="1"/>
    <col min="13" max="13" width="0" hidden="1" customWidth="1"/>
    <col min="14" max="16384" width="9" hidden="1"/>
  </cols>
  <sheetData>
    <row r="1" spans="1:13" s="373" customFormat="1"/>
    <row r="2" spans="1:13" ht="34.5" customHeight="1">
      <c r="B2" s="373"/>
      <c r="C2" s="373"/>
      <c r="D2" s="436"/>
      <c r="E2" s="1179" t="s">
        <v>802</v>
      </c>
      <c r="F2" s="1003"/>
      <c r="G2" s="1180"/>
      <c r="H2" s="438"/>
      <c r="I2" s="1179" t="s">
        <v>803</v>
      </c>
      <c r="J2" s="1003"/>
      <c r="K2" s="1003"/>
      <c r="L2" s="1003"/>
    </row>
    <row r="3" spans="1:13" ht="28.5" customHeight="1">
      <c r="B3" s="373"/>
      <c r="C3" s="440"/>
      <c r="D3" s="437"/>
      <c r="E3" s="1179" t="s">
        <v>1585</v>
      </c>
      <c r="F3" s="1003"/>
      <c r="G3" s="1180"/>
      <c r="H3" s="659"/>
      <c r="I3" s="1179" t="s">
        <v>1484</v>
      </c>
      <c r="J3" s="1003"/>
      <c r="K3" s="1003"/>
      <c r="L3" s="1003"/>
    </row>
    <row r="4" spans="1:13" ht="41.25" customHeight="1" thickBot="1">
      <c r="B4" s="509" t="s">
        <v>604</v>
      </c>
      <c r="C4" s="199"/>
      <c r="E4" s="373"/>
      <c r="F4" s="373"/>
      <c r="G4" s="373"/>
      <c r="H4" s="373"/>
      <c r="I4" s="373"/>
      <c r="J4" s="373"/>
      <c r="K4" s="373"/>
      <c r="L4" s="373"/>
      <c r="M4" s="373"/>
    </row>
    <row r="5" spans="1:13" s="190" customFormat="1" ht="16.25" customHeight="1" thickBot="1">
      <c r="A5" s="400"/>
      <c r="B5" s="1188" t="s">
        <v>618</v>
      </c>
      <c r="C5" s="1182" t="s">
        <v>577</v>
      </c>
      <c r="D5" s="1183"/>
      <c r="E5" s="1184"/>
      <c r="F5" s="1185" t="s">
        <v>578</v>
      </c>
      <c r="G5" s="1186"/>
      <c r="H5" s="1187"/>
      <c r="I5" s="400"/>
      <c r="J5" s="400"/>
      <c r="L5" s="400"/>
      <c r="M5" s="400"/>
    </row>
    <row r="6" spans="1:13" s="190" customFormat="1" ht="35" thickBot="1">
      <c r="A6" s="400"/>
      <c r="B6" s="1189"/>
      <c r="C6" s="501" t="s">
        <v>615</v>
      </c>
      <c r="D6" s="502" t="s">
        <v>606</v>
      </c>
      <c r="E6" s="503" t="s">
        <v>611</v>
      </c>
      <c r="F6" s="501" t="s">
        <v>612</v>
      </c>
      <c r="G6" s="502" t="s">
        <v>606</v>
      </c>
      <c r="H6" s="503" t="s">
        <v>611</v>
      </c>
      <c r="I6" s="400"/>
      <c r="J6" s="400"/>
      <c r="L6" s="400"/>
      <c r="M6" s="400"/>
    </row>
    <row r="7" spans="1:13" s="190" customFormat="1">
      <c r="A7" s="400"/>
      <c r="B7" s="1170" t="s">
        <v>605</v>
      </c>
      <c r="C7" s="500" t="s">
        <v>607</v>
      </c>
      <c r="D7" s="676" t="str">
        <f>IF(C7="Lbs./unit","$/Lb.",IF(C7="gallons/unit", "$/gallon",IF(C7="scf/unit","$/1000 scf",IF(C7="other-specify/unit","$/unit "))))</f>
        <v>$/Lb.</v>
      </c>
      <c r="E7" s="1172">
        <f>IF($D7="$/1000 scf",$C8*$D8/1000,$C8*$D8)</f>
        <v>0</v>
      </c>
      <c r="F7" s="500" t="s">
        <v>607</v>
      </c>
      <c r="G7" s="676" t="str">
        <f>IF(F7="Lbs./unit","$/Lb.",IF(F7="gallons/unit", "$/gallon",IF(F7="scf/unit","$/1000 scf",IF(F7="other-specify/unit","$/unit "))))</f>
        <v>$/Lb.</v>
      </c>
      <c r="H7" s="1172">
        <f>IF($G7="$/1000 scf",$F8*$G8/1000,$F8*$G8)</f>
        <v>0</v>
      </c>
      <c r="I7" s="400"/>
      <c r="J7" s="400"/>
      <c r="L7" s="400"/>
      <c r="M7" s="400"/>
    </row>
    <row r="8" spans="1:13" s="190" customFormat="1" ht="20.25" customHeight="1">
      <c r="A8" s="400"/>
      <c r="B8" s="1176"/>
      <c r="C8" s="504"/>
      <c r="D8" s="505"/>
      <c r="E8" s="1181"/>
      <c r="F8" s="504">
        <v>0</v>
      </c>
      <c r="G8" s="505">
        <f>D8</f>
        <v>0</v>
      </c>
      <c r="H8" s="1181"/>
      <c r="I8" s="400"/>
      <c r="J8" s="400"/>
      <c r="K8" s="400"/>
      <c r="L8" s="400"/>
      <c r="M8" s="400"/>
    </row>
    <row r="9" spans="1:13" s="190" customFormat="1">
      <c r="A9" s="400"/>
      <c r="B9" s="1170" t="s">
        <v>251</v>
      </c>
      <c r="C9" s="506" t="s">
        <v>608</v>
      </c>
      <c r="D9" s="677" t="str">
        <f>IF(C9="Lbs./unit","$/Lb.",IF(C9="gallons/unit", "$/gallon",IF(C9="scf/unit","$/1000 scf",IF(C9="other-specify/unit","$/unit "))))</f>
        <v>$/gallon</v>
      </c>
      <c r="E9" s="1177">
        <f>IF($D9="$/1000 scf",$C10*$D10/1000,$C10*$D10)</f>
        <v>0</v>
      </c>
      <c r="F9" s="506" t="s">
        <v>608</v>
      </c>
      <c r="G9" s="677" t="str">
        <f>IF(F9="Lbs./unit","$/Lb.",IF(F9="gallons/unit", "$/gallon",IF(F9="scf/unit","$/1000 scf",IF(F9="other-specify/unit","$/unit "))))</f>
        <v>$/gallon</v>
      </c>
      <c r="H9" s="1177">
        <f>IF($G9="$/1000 scf",$F10*$G10/1000,$F10*$G10)</f>
        <v>0</v>
      </c>
      <c r="I9" s="400"/>
      <c r="J9" s="400"/>
      <c r="K9" s="400"/>
      <c r="L9" s="400"/>
      <c r="M9" s="400"/>
    </row>
    <row r="10" spans="1:13" s="190" customFormat="1" ht="19.5" customHeight="1">
      <c r="A10" s="400"/>
      <c r="B10" s="1176"/>
      <c r="C10" s="507"/>
      <c r="D10" s="508"/>
      <c r="E10" s="1178"/>
      <c r="F10" s="507"/>
      <c r="G10" s="508"/>
      <c r="H10" s="1178"/>
      <c r="I10" s="400"/>
      <c r="J10" s="400"/>
      <c r="K10" s="400"/>
      <c r="L10" s="400"/>
      <c r="M10" s="400"/>
    </row>
    <row r="11" spans="1:13" s="190" customFormat="1" ht="22.5" customHeight="1">
      <c r="A11" s="400"/>
      <c r="B11" s="1170" t="s">
        <v>613</v>
      </c>
      <c r="C11" s="506" t="s">
        <v>609</v>
      </c>
      <c r="D11" s="677" t="str">
        <f>IF(C11="Lbs./unit","$/Lb.",IF(C11="gallons/unit", "$/gallon",IF(C11="scf/unit","$/1000 scf",IF(C11="other-specify/unit","$/unit "))))</f>
        <v>$/1000 scf</v>
      </c>
      <c r="E11" s="1177">
        <f>IF($D11="$/1000 scf",$C12*$D12/1000,$C12*$D12)</f>
        <v>0</v>
      </c>
      <c r="F11" s="506" t="s">
        <v>609</v>
      </c>
      <c r="G11" s="677" t="str">
        <f>IF(F11="Lbs./unit","$/Lb.",IF(F11="gallons/unit", "$/gallon",IF(F11="scf/unit","$/1000 scf",IF(F11="other-specify/unit","$/unit "))))</f>
        <v>$/1000 scf</v>
      </c>
      <c r="H11" s="1177">
        <f>IF($G11="$/1000 scf",$F12*$G12/1000,$F12*$G12)</f>
        <v>0</v>
      </c>
      <c r="I11" s="400"/>
      <c r="J11" s="400"/>
      <c r="K11" s="400"/>
      <c r="L11" s="400"/>
      <c r="M11" s="400"/>
    </row>
    <row r="12" spans="1:13" s="190" customFormat="1" ht="18" customHeight="1">
      <c r="A12" s="400"/>
      <c r="B12" s="1176"/>
      <c r="C12" s="507"/>
      <c r="D12" s="508"/>
      <c r="E12" s="1178"/>
      <c r="F12" s="507"/>
      <c r="G12" s="508"/>
      <c r="H12" s="1178"/>
      <c r="I12" s="400"/>
      <c r="J12" s="400"/>
      <c r="K12" s="400"/>
      <c r="L12" s="400"/>
      <c r="M12" s="400"/>
    </row>
    <row r="13" spans="1:13" s="190" customFormat="1" ht="31.5" customHeight="1">
      <c r="A13" s="400"/>
      <c r="B13" s="1170" t="s">
        <v>614</v>
      </c>
      <c r="C13" s="500" t="s">
        <v>610</v>
      </c>
      <c r="D13" s="676" t="str">
        <f>IF(C13="Lbs./unit","$/Lb.",IF(C13="gallons/unit", "$/gallon",IF(C13="scf/unit","$/1000 scf",IF(C13="other-specify/unit","$/unit of added material quantity "))))</f>
        <v xml:space="preserve">$/unit of added material quantity </v>
      </c>
      <c r="E13" s="1172">
        <f>IF($D13="$/1000 scf",$C14*$D14/1000,$C14*$D14)</f>
        <v>0</v>
      </c>
      <c r="F13" s="500" t="s">
        <v>610</v>
      </c>
      <c r="G13" s="676" t="str">
        <f>IF(F13="Lbs./unit","$/Lb.",IF(F13="gallons/unit", "$/gallon",IF(F13="scf/unit","$/1000 scf",IF(F13="other-specify/unit","$/unit of added material quantity "))))</f>
        <v xml:space="preserve">$/unit of added material quantity </v>
      </c>
      <c r="H13" s="1172">
        <f>IF($G13="$/1000 scf",$F14*$G14/1000,$F14*$G14)</f>
        <v>0</v>
      </c>
      <c r="I13" s="400"/>
      <c r="J13" s="400"/>
      <c r="K13" s="400"/>
      <c r="L13" s="400"/>
      <c r="M13" s="400"/>
    </row>
    <row r="14" spans="1:13" s="178" customFormat="1" ht="20.25" customHeight="1" thickBot="1">
      <c r="A14" s="400"/>
      <c r="B14" s="1171"/>
      <c r="C14" s="202"/>
      <c r="D14" s="203"/>
      <c r="E14" s="1173"/>
      <c r="F14" s="202"/>
      <c r="G14" s="203">
        <v>0</v>
      </c>
      <c r="H14" s="1173"/>
      <c r="I14" s="400"/>
      <c r="J14" s="400"/>
      <c r="K14" s="400"/>
      <c r="L14" s="400"/>
      <c r="M14" s="400"/>
    </row>
    <row r="15" spans="1:13" s="400" customFormat="1" ht="22.5" customHeight="1">
      <c r="B15" s="510"/>
      <c r="C15" s="511"/>
      <c r="D15" s="512"/>
      <c r="E15" s="401"/>
      <c r="F15" s="511"/>
      <c r="G15" s="512"/>
      <c r="H15" s="401"/>
    </row>
    <row r="16" spans="1:13" s="400" customFormat="1" ht="17">
      <c r="B16" s="385" t="s">
        <v>587</v>
      </c>
      <c r="C16" s="385"/>
    </row>
    <row r="17" spans="1:13" s="400" customFormat="1" ht="53.5" customHeight="1">
      <c r="B17" s="967" t="s">
        <v>619</v>
      </c>
      <c r="C17" s="967"/>
      <c r="D17" s="967"/>
      <c r="E17" s="967"/>
      <c r="F17" s="967"/>
      <c r="G17" s="967"/>
    </row>
    <row r="18" spans="1:13" s="400" customFormat="1" ht="17" thickBot="1"/>
    <row r="19" spans="1:13" s="178" customFormat="1" ht="29" thickBot="1">
      <c r="A19" s="400"/>
      <c r="B19" s="204" t="s">
        <v>616</v>
      </c>
      <c r="C19" s="1174" t="s">
        <v>617</v>
      </c>
      <c r="D19" s="1175"/>
      <c r="E19" s="205">
        <f>SUM(E7:E14)</f>
        <v>0</v>
      </c>
      <c r="F19" s="1174" t="s">
        <v>617</v>
      </c>
      <c r="G19" s="1175"/>
      <c r="H19" s="205">
        <f>SUM(H7:H14)</f>
        <v>0</v>
      </c>
      <c r="I19" s="400"/>
      <c r="J19" s="400"/>
      <c r="K19" s="400"/>
      <c r="L19" s="400"/>
      <c r="M19" s="400"/>
    </row>
    <row r="20" spans="1:13" s="373" customFormat="1"/>
    <row r="21" spans="1:13" s="373" customFormat="1" hidden="1"/>
    <row r="22" spans="1:13" hidden="1">
      <c r="I22" s="373"/>
      <c r="J22" s="373"/>
      <c r="K22" s="373"/>
      <c r="L22" s="373"/>
      <c r="M22" s="373"/>
    </row>
    <row r="23" spans="1:13" hidden="1">
      <c r="I23" s="373"/>
      <c r="J23" s="373"/>
      <c r="K23" s="373"/>
      <c r="L23" s="373"/>
      <c r="M23" s="373"/>
    </row>
  </sheetData>
  <mergeCells count="22">
    <mergeCell ref="E2:G2"/>
    <mergeCell ref="E3:G3"/>
    <mergeCell ref="I2:L2"/>
    <mergeCell ref="I3:L3"/>
    <mergeCell ref="B7:B8"/>
    <mergeCell ref="E7:E8"/>
    <mergeCell ref="C5:E5"/>
    <mergeCell ref="F5:H5"/>
    <mergeCell ref="H7:H8"/>
    <mergeCell ref="B5:B6"/>
    <mergeCell ref="B9:B10"/>
    <mergeCell ref="E9:E10"/>
    <mergeCell ref="H9:H10"/>
    <mergeCell ref="B11:B12"/>
    <mergeCell ref="E11:E12"/>
    <mergeCell ref="H11:H12"/>
    <mergeCell ref="B13:B14"/>
    <mergeCell ref="E13:E14"/>
    <mergeCell ref="H13:H14"/>
    <mergeCell ref="C19:D19"/>
    <mergeCell ref="F19:G19"/>
    <mergeCell ref="B17:G17"/>
  </mergeCells>
  <dataValidations count="1">
    <dataValidation type="list" allowBlank="1" showInputMessage="1" showErrorMessage="1" sqref="C7 F7 C9 F9 C11 F11 C13 F13" xr:uid="{00000000-0002-0000-1000-000000000000}">
      <formula1>"Lbs./unit, gallons/unit, scf/unit,Other-specify/unit"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I23"/>
  <sheetViews>
    <sheetView zoomScale="115" zoomScaleNormal="115" workbookViewId="0"/>
  </sheetViews>
  <sheetFormatPr baseColWidth="10" defaultColWidth="0" defaultRowHeight="16" zeroHeight="1"/>
  <cols>
    <col min="1" max="1" width="25.83203125" style="373" customWidth="1"/>
    <col min="2" max="2" width="8.6640625" style="374" customWidth="1"/>
    <col min="3" max="3" width="62.1640625" style="375" customWidth="1"/>
    <col min="4" max="7" width="9" style="373" customWidth="1"/>
    <col min="8" max="9" width="0" style="373" hidden="1" customWidth="1"/>
    <col min="10" max="16384" width="9" style="373" hidden="1"/>
  </cols>
  <sheetData>
    <row r="1" spans="2:9" ht="17" thickBot="1"/>
    <row r="2" spans="2:9" s="375" customFormat="1" ht="18.5" customHeight="1">
      <c r="B2" s="926" t="s">
        <v>85</v>
      </c>
      <c r="C2" s="927"/>
    </row>
    <row r="3" spans="2:9" s="375" customFormat="1" ht="18.5" customHeight="1" thickBot="1">
      <c r="B3" s="930" t="s">
        <v>86</v>
      </c>
      <c r="C3" s="931"/>
    </row>
    <row r="4" spans="2:9" s="375" customFormat="1" ht="14.5" customHeight="1">
      <c r="B4" s="377"/>
      <c r="C4" s="378"/>
    </row>
    <row r="5" spans="2:9" s="375" customFormat="1" ht="138.5" customHeight="1">
      <c r="B5" s="928" t="s">
        <v>1550</v>
      </c>
      <c r="C5" s="929"/>
    </row>
    <row r="6" spans="2:9" ht="18" thickBot="1">
      <c r="B6" s="292" t="s">
        <v>36</v>
      </c>
      <c r="C6" s="336"/>
    </row>
    <row r="7" spans="2:9" ht="20" thickBot="1">
      <c r="B7" s="926" t="s">
        <v>1551</v>
      </c>
      <c r="C7" s="927"/>
      <c r="D7" s="379"/>
      <c r="E7" s="377"/>
      <c r="F7" s="377"/>
      <c r="G7" s="377"/>
      <c r="H7" s="377"/>
      <c r="I7" s="377"/>
    </row>
    <row r="8" spans="2:9" ht="25.25" customHeight="1">
      <c r="B8" s="382" t="s">
        <v>714</v>
      </c>
      <c r="C8" s="383" t="s">
        <v>715</v>
      </c>
      <c r="D8" s="380"/>
      <c r="E8" s="381"/>
      <c r="F8" s="381"/>
      <c r="G8" s="381"/>
      <c r="H8" s="381"/>
      <c r="I8" s="381"/>
    </row>
    <row r="9" spans="2:9" ht="6" customHeight="1">
      <c r="B9" s="293"/>
      <c r="C9" s="294"/>
    </row>
    <row r="10" spans="2:9" ht="25.25" customHeight="1">
      <c r="B10" s="293">
        <v>1</v>
      </c>
      <c r="C10" s="295" t="s">
        <v>1554</v>
      </c>
    </row>
    <row r="11" spans="2:9" ht="25.25" customHeight="1">
      <c r="B11" s="293">
        <f t="shared" ref="B11:B16" si="0">1+B10</f>
        <v>2</v>
      </c>
      <c r="C11" s="295" t="s">
        <v>1552</v>
      </c>
    </row>
    <row r="12" spans="2:9" ht="25.25" customHeight="1">
      <c r="B12" s="293">
        <f t="shared" si="0"/>
        <v>3</v>
      </c>
      <c r="C12" s="295" t="s">
        <v>1555</v>
      </c>
      <c r="E12" s="932"/>
      <c r="F12" s="932"/>
    </row>
    <row r="13" spans="2:9" ht="25.25" customHeight="1">
      <c r="B13" s="293">
        <f t="shared" si="0"/>
        <v>4</v>
      </c>
      <c r="C13" s="295" t="s">
        <v>1556</v>
      </c>
    </row>
    <row r="14" spans="2:9" ht="48.5" customHeight="1">
      <c r="B14" s="293">
        <f t="shared" si="0"/>
        <v>5</v>
      </c>
      <c r="C14" s="295" t="s">
        <v>1557</v>
      </c>
    </row>
    <row r="15" spans="2:9" ht="40.25" customHeight="1">
      <c r="B15" s="293">
        <f t="shared" si="0"/>
        <v>6</v>
      </c>
      <c r="C15" s="295" t="s">
        <v>1559</v>
      </c>
    </row>
    <row r="16" spans="2:9" ht="40.25" customHeight="1" thickBot="1">
      <c r="B16" s="296">
        <f t="shared" si="0"/>
        <v>7</v>
      </c>
      <c r="C16" s="297" t="s">
        <v>1553</v>
      </c>
    </row>
    <row r="17" spans="2:3"/>
    <row r="18" spans="2:3" ht="17">
      <c r="B18" s="618" t="s">
        <v>818</v>
      </c>
      <c r="C18" s="433"/>
    </row>
    <row r="19" spans="2:3" ht="17">
      <c r="B19" s="436"/>
      <c r="C19" s="439" t="s">
        <v>1558</v>
      </c>
    </row>
    <row r="20" spans="2:3" ht="17">
      <c r="B20" s="437"/>
      <c r="C20" s="439" t="s">
        <v>816</v>
      </c>
    </row>
    <row r="21" spans="2:3" ht="17">
      <c r="B21" s="649"/>
      <c r="C21" s="439" t="s">
        <v>1485</v>
      </c>
    </row>
    <row r="22" spans="2:3" ht="17">
      <c r="B22" s="659"/>
      <c r="C22" s="439" t="s">
        <v>1484</v>
      </c>
    </row>
    <row r="23" spans="2:3"/>
  </sheetData>
  <mergeCells count="5">
    <mergeCell ref="B7:C7"/>
    <mergeCell ref="B2:C2"/>
    <mergeCell ref="B5:C5"/>
    <mergeCell ref="B3:C3"/>
    <mergeCell ref="E12:F12"/>
  </mergeCells>
  <pageMargins left="0.7" right="0.7" top="0.75" bottom="0.75" header="0.3" footer="0.3"/>
  <pageSetup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M31"/>
  <sheetViews>
    <sheetView workbookViewId="0">
      <selection activeCell="B16" sqref="B16:F16"/>
    </sheetView>
  </sheetViews>
  <sheetFormatPr baseColWidth="10" defaultColWidth="0" defaultRowHeight="16" zeroHeight="1"/>
  <cols>
    <col min="1" max="1" width="9" style="373" customWidth="1"/>
    <col min="2" max="2" width="28.6640625" customWidth="1"/>
    <col min="3" max="3" width="13.6640625" customWidth="1"/>
    <col min="4" max="4" width="12.6640625" customWidth="1"/>
    <col min="5" max="5" width="13.1640625" customWidth="1"/>
    <col min="6" max="7" width="11.5" customWidth="1"/>
    <col min="8" max="8" width="10.83203125" customWidth="1"/>
    <col min="9" max="9" width="11.33203125" customWidth="1"/>
    <col min="10" max="13" width="9" style="373" customWidth="1"/>
    <col min="14" max="16384" width="9" hidden="1"/>
  </cols>
  <sheetData>
    <row r="1" spans="1:13" s="373" customFormat="1">
      <c r="B1" s="1190" t="s">
        <v>602</v>
      </c>
      <c r="C1" s="1190"/>
      <c r="D1" s="1190"/>
      <c r="E1" s="1190"/>
      <c r="F1" s="1190"/>
      <c r="G1" s="1190"/>
      <c r="H1" s="1190"/>
      <c r="I1" s="1190"/>
    </row>
    <row r="2" spans="1:13" s="373" customFormat="1">
      <c r="B2" s="1190"/>
      <c r="C2" s="1190"/>
      <c r="D2" s="1190"/>
      <c r="E2" s="1190"/>
      <c r="F2" s="1190"/>
      <c r="G2" s="1190"/>
      <c r="H2" s="1190"/>
      <c r="I2" s="1190"/>
    </row>
    <row r="3" spans="1:13" s="373" customFormat="1">
      <c r="B3" s="440"/>
    </row>
    <row r="4" spans="1:13" s="373" customFormat="1" ht="22" thickBot="1">
      <c r="B4" s="430" t="s">
        <v>577</v>
      </c>
    </row>
    <row r="5" spans="1:13" s="178" customFormat="1" ht="17">
      <c r="A5" s="433"/>
      <c r="B5" s="571" t="s">
        <v>572</v>
      </c>
      <c r="C5" s="572" t="s">
        <v>573</v>
      </c>
      <c r="D5" s="572" t="s">
        <v>591</v>
      </c>
      <c r="E5" s="572" t="s">
        <v>592</v>
      </c>
      <c r="F5" s="572" t="s">
        <v>593</v>
      </c>
      <c r="G5" s="572" t="s">
        <v>1580</v>
      </c>
      <c r="H5" s="572" t="s">
        <v>1581</v>
      </c>
      <c r="I5" s="573" t="s">
        <v>1582</v>
      </c>
      <c r="J5" s="433"/>
      <c r="K5" s="433"/>
      <c r="L5" s="433"/>
      <c r="M5" s="433"/>
    </row>
    <row r="6" spans="1:13" s="178" customFormat="1" ht="24" customHeight="1">
      <c r="A6" s="433"/>
      <c r="B6" s="570" t="s">
        <v>590</v>
      </c>
      <c r="C6" s="574" t="s">
        <v>594</v>
      </c>
      <c r="D6" s="581"/>
      <c r="E6" s="581"/>
      <c r="F6" s="581"/>
      <c r="G6" s="582"/>
      <c r="H6" s="582"/>
      <c r="I6" s="583"/>
      <c r="J6" s="433"/>
      <c r="K6" s="433"/>
      <c r="L6" s="433"/>
      <c r="M6" s="433"/>
    </row>
    <row r="7" spans="1:13" s="178" customFormat="1" ht="34">
      <c r="A7" s="433"/>
      <c r="B7" s="568" t="s">
        <v>595</v>
      </c>
      <c r="C7" s="575" t="s">
        <v>594</v>
      </c>
      <c r="D7" s="584"/>
      <c r="E7" s="585"/>
      <c r="F7" s="586"/>
      <c r="G7" s="586"/>
      <c r="H7" s="586"/>
      <c r="I7" s="587"/>
      <c r="J7" s="433"/>
      <c r="K7" s="433"/>
      <c r="L7" s="433"/>
      <c r="M7" s="433"/>
    </row>
    <row r="8" spans="1:13" s="178" customFormat="1" ht="21" customHeight="1">
      <c r="A8" s="433"/>
      <c r="B8" s="568" t="s">
        <v>596</v>
      </c>
      <c r="C8" s="575" t="s">
        <v>597</v>
      </c>
      <c r="D8" s="588"/>
      <c r="E8" s="589"/>
      <c r="F8" s="590"/>
      <c r="G8" s="590"/>
      <c r="H8" s="590"/>
      <c r="I8" s="591"/>
      <c r="J8" s="433"/>
      <c r="K8" s="433"/>
      <c r="L8" s="433"/>
      <c r="M8" s="433"/>
    </row>
    <row r="9" spans="1:13" s="178" customFormat="1" ht="19.5" customHeight="1">
      <c r="A9" s="433"/>
      <c r="B9" s="566" t="s">
        <v>598</v>
      </c>
      <c r="C9" s="576" t="s">
        <v>237</v>
      </c>
      <c r="D9" s="21">
        <f t="shared" ref="D9:I9" si="0">D6*D7*D8</f>
        <v>0</v>
      </c>
      <c r="E9" s="21">
        <f t="shared" si="0"/>
        <v>0</v>
      </c>
      <c r="F9" s="21">
        <f t="shared" si="0"/>
        <v>0</v>
      </c>
      <c r="G9" s="21">
        <f t="shared" si="0"/>
        <v>0</v>
      </c>
      <c r="H9" s="21">
        <f t="shared" si="0"/>
        <v>0</v>
      </c>
      <c r="I9" s="580">
        <f t="shared" si="0"/>
        <v>0</v>
      </c>
      <c r="J9" s="433"/>
      <c r="K9" s="433"/>
      <c r="L9" s="433"/>
      <c r="M9" s="433"/>
    </row>
    <row r="10" spans="1:13" s="178" customFormat="1" ht="21" customHeight="1">
      <c r="A10" s="433"/>
      <c r="B10" s="566" t="s">
        <v>599</v>
      </c>
      <c r="C10" s="576" t="s">
        <v>601</v>
      </c>
      <c r="D10" s="586"/>
      <c r="E10" s="586"/>
      <c r="F10" s="586"/>
      <c r="G10" s="586"/>
      <c r="H10" s="586"/>
      <c r="I10" s="587"/>
      <c r="J10" s="433"/>
      <c r="K10" s="433"/>
      <c r="L10" s="433"/>
      <c r="M10" s="433"/>
    </row>
    <row r="11" spans="1:13" s="178" customFormat="1" ht="21.75" customHeight="1" thickBot="1">
      <c r="A11" s="433"/>
      <c r="B11" s="567" t="s">
        <v>600</v>
      </c>
      <c r="C11" s="577" t="s">
        <v>8</v>
      </c>
      <c r="D11" s="578">
        <f t="shared" ref="D11:I11" si="1">D9*D10</f>
        <v>0</v>
      </c>
      <c r="E11" s="578">
        <f t="shared" si="1"/>
        <v>0</v>
      </c>
      <c r="F11" s="578">
        <f t="shared" si="1"/>
        <v>0</v>
      </c>
      <c r="G11" s="578">
        <f t="shared" si="1"/>
        <v>0</v>
      </c>
      <c r="H11" s="578">
        <f t="shared" si="1"/>
        <v>0</v>
      </c>
      <c r="I11" s="579">
        <f t="shared" si="1"/>
        <v>0</v>
      </c>
      <c r="J11" s="433"/>
      <c r="K11" s="433"/>
      <c r="L11" s="433"/>
      <c r="M11" s="433"/>
    </row>
    <row r="12" spans="1:13" s="433" customFormat="1"/>
    <row r="13" spans="1:13" s="434" customFormat="1">
      <c r="A13" s="433"/>
      <c r="B13" s="569" t="s">
        <v>811</v>
      </c>
      <c r="C13" s="1191" t="s">
        <v>8</v>
      </c>
      <c r="D13" s="1192"/>
      <c r="E13" s="678">
        <f>SUM(D11:I11)</f>
        <v>0</v>
      </c>
      <c r="G13" s="433"/>
      <c r="H13" s="433"/>
      <c r="I13" s="433"/>
      <c r="J13" s="433"/>
      <c r="K13" s="433"/>
      <c r="L13" s="433"/>
      <c r="M13" s="433"/>
    </row>
    <row r="14" spans="1:13" s="433" customFormat="1">
      <c r="B14" s="523"/>
      <c r="C14" s="385"/>
      <c r="E14" s="404"/>
    </row>
    <row r="15" spans="1:13" s="433" customFormat="1" ht="17">
      <c r="B15" s="385" t="s">
        <v>587</v>
      </c>
    </row>
    <row r="16" spans="1:13" s="178" customFormat="1" ht="50.5" customHeight="1">
      <c r="A16" s="433"/>
      <c r="B16" s="1193" t="s">
        <v>1584</v>
      </c>
      <c r="C16" s="1194"/>
      <c r="D16" s="1194"/>
      <c r="E16" s="1194"/>
      <c r="F16" s="1195"/>
      <c r="G16" s="433"/>
      <c r="H16" s="433"/>
      <c r="I16" s="433"/>
      <c r="J16" s="433"/>
      <c r="K16" s="433"/>
      <c r="L16" s="433"/>
      <c r="M16" s="433"/>
    </row>
    <row r="17" spans="2:9" s="433" customFormat="1"/>
    <row r="18" spans="2:9" s="433" customFormat="1"/>
    <row r="19" spans="2:9" s="373" customFormat="1"/>
    <row r="20" spans="2:9" s="373" customFormat="1" ht="22" thickBot="1">
      <c r="B20" s="430" t="s">
        <v>578</v>
      </c>
    </row>
    <row r="21" spans="2:9" ht="20.25" customHeight="1">
      <c r="B21" s="571" t="s">
        <v>572</v>
      </c>
      <c r="C21" s="572" t="s">
        <v>573</v>
      </c>
      <c r="D21" s="572" t="s">
        <v>591</v>
      </c>
      <c r="E21" s="572" t="s">
        <v>592</v>
      </c>
      <c r="F21" s="572" t="s">
        <v>593</v>
      </c>
      <c r="G21" s="572" t="s">
        <v>1580</v>
      </c>
      <c r="H21" s="572" t="s">
        <v>1581</v>
      </c>
      <c r="I21" s="573" t="s">
        <v>1582</v>
      </c>
    </row>
    <row r="22" spans="2:9" ht="25.5" customHeight="1">
      <c r="B22" s="570" t="s">
        <v>590</v>
      </c>
      <c r="C22" s="574" t="s">
        <v>594</v>
      </c>
      <c r="D22" s="581"/>
      <c r="E22" s="581"/>
      <c r="F22" s="581"/>
      <c r="G22" s="582"/>
      <c r="H22" s="582"/>
      <c r="I22" s="583"/>
    </row>
    <row r="23" spans="2:9" ht="33.75" customHeight="1">
      <c r="B23" s="568" t="s">
        <v>595</v>
      </c>
      <c r="C23" s="575" t="s">
        <v>594</v>
      </c>
      <c r="D23" s="584"/>
      <c r="E23" s="585"/>
      <c r="F23" s="586"/>
      <c r="G23" s="586"/>
      <c r="H23" s="586"/>
      <c r="I23" s="587"/>
    </row>
    <row r="24" spans="2:9" ht="26.5" customHeight="1">
      <c r="B24" s="568" t="s">
        <v>596</v>
      </c>
      <c r="C24" s="575" t="s">
        <v>597</v>
      </c>
      <c r="D24" s="588"/>
      <c r="E24" s="589"/>
      <c r="F24" s="590"/>
      <c r="G24" s="590"/>
      <c r="H24" s="590"/>
      <c r="I24" s="591"/>
    </row>
    <row r="25" spans="2:9" ht="23.25" customHeight="1">
      <c r="B25" s="566" t="s">
        <v>598</v>
      </c>
      <c r="C25" s="576" t="s">
        <v>237</v>
      </c>
      <c r="D25" s="21">
        <f t="shared" ref="D25:I25" si="2">D22*D23*D24</f>
        <v>0</v>
      </c>
      <c r="E25" s="21">
        <f t="shared" si="2"/>
        <v>0</v>
      </c>
      <c r="F25" s="21">
        <f t="shared" si="2"/>
        <v>0</v>
      </c>
      <c r="G25" s="21">
        <f t="shared" si="2"/>
        <v>0</v>
      </c>
      <c r="H25" s="21">
        <f t="shared" si="2"/>
        <v>0</v>
      </c>
      <c r="I25" s="580">
        <f t="shared" si="2"/>
        <v>0</v>
      </c>
    </row>
    <row r="26" spans="2:9" ht="21" customHeight="1">
      <c r="B26" s="566" t="s">
        <v>599</v>
      </c>
      <c r="C26" s="576" t="s">
        <v>601</v>
      </c>
      <c r="D26" s="586"/>
      <c r="E26" s="586"/>
      <c r="F26" s="586"/>
      <c r="G26" s="586"/>
      <c r="H26" s="586"/>
      <c r="I26" s="587"/>
    </row>
    <row r="27" spans="2:9" ht="23.25" customHeight="1" thickBot="1">
      <c r="B27" s="567" t="s">
        <v>600</v>
      </c>
      <c r="C27" s="577" t="s">
        <v>8</v>
      </c>
      <c r="D27" s="578">
        <f t="shared" ref="D27:I27" si="3">D25*D26</f>
        <v>0</v>
      </c>
      <c r="E27" s="578">
        <f t="shared" si="3"/>
        <v>0</v>
      </c>
      <c r="F27" s="578">
        <f t="shared" si="3"/>
        <v>0</v>
      </c>
      <c r="G27" s="578">
        <f t="shared" si="3"/>
        <v>0</v>
      </c>
      <c r="H27" s="578">
        <f t="shared" si="3"/>
        <v>0</v>
      </c>
      <c r="I27" s="579">
        <f t="shared" si="3"/>
        <v>0</v>
      </c>
    </row>
    <row r="28" spans="2:9" s="373" customFormat="1" ht="15.5" customHeight="1">
      <c r="B28" s="433"/>
      <c r="C28" s="433"/>
      <c r="D28" s="433"/>
      <c r="E28" s="433"/>
      <c r="F28" s="433"/>
      <c r="G28" s="433"/>
      <c r="H28" s="433"/>
      <c r="I28" s="433"/>
    </row>
    <row r="29" spans="2:9">
      <c r="B29" s="569" t="s">
        <v>812</v>
      </c>
      <c r="C29" s="1191" t="s">
        <v>8</v>
      </c>
      <c r="D29" s="1192"/>
      <c r="E29" s="678">
        <f>SUM(D27:I27)</f>
        <v>0</v>
      </c>
      <c r="F29" s="433"/>
      <c r="G29" s="433"/>
      <c r="H29" s="433"/>
      <c r="I29" s="433"/>
    </row>
    <row r="30" spans="2:9" s="373" customFormat="1">
      <c r="B30" s="433"/>
      <c r="C30" s="433"/>
      <c r="D30" s="433"/>
      <c r="E30" s="433"/>
      <c r="F30" s="433"/>
      <c r="G30" s="433"/>
      <c r="H30" s="433"/>
      <c r="I30" s="433"/>
    </row>
    <row r="31" spans="2:9" hidden="1">
      <c r="B31" s="178"/>
      <c r="C31" s="178"/>
      <c r="D31" s="178"/>
      <c r="E31" s="178"/>
      <c r="F31" s="178"/>
      <c r="G31" s="178"/>
      <c r="H31" s="178"/>
      <c r="I31" s="178"/>
    </row>
  </sheetData>
  <mergeCells count="4">
    <mergeCell ref="B1:I2"/>
    <mergeCell ref="C29:D29"/>
    <mergeCell ref="B16:F16"/>
    <mergeCell ref="C13:D1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K35"/>
  <sheetViews>
    <sheetView workbookViewId="0"/>
  </sheetViews>
  <sheetFormatPr baseColWidth="10" defaultColWidth="0" defaultRowHeight="16" zeroHeight="1"/>
  <cols>
    <col min="1" max="1" width="8.83203125" style="373" customWidth="1"/>
    <col min="2" max="2" width="26.33203125" style="373" customWidth="1"/>
    <col min="3" max="3" width="14.5" style="373" customWidth="1"/>
    <col min="4" max="4" width="14.1640625" style="373" customWidth="1"/>
    <col min="5" max="5" width="15" style="373" customWidth="1"/>
    <col min="6" max="6" width="3.83203125" style="373" customWidth="1"/>
    <col min="7" max="7" width="8.83203125" style="373" customWidth="1"/>
    <col min="8" max="8" width="0.1640625" style="373" customWidth="1"/>
    <col min="9" max="11" width="8.83203125" style="373" customWidth="1"/>
    <col min="12" max="16384" width="8.83203125" style="373" hidden="1"/>
  </cols>
  <sheetData>
    <row r="1" spans="2:8"/>
    <row r="2" spans="2:8"/>
    <row r="3" spans="2:8" s="825" customFormat="1" ht="21" thickBot="1">
      <c r="B3" s="390" t="s">
        <v>743</v>
      </c>
    </row>
    <row r="4" spans="2:8" s="825" customFormat="1" ht="17">
      <c r="B4" s="828"/>
      <c r="C4" s="829" t="s">
        <v>760</v>
      </c>
      <c r="D4" s="829" t="s">
        <v>52</v>
      </c>
      <c r="E4" s="600" t="s">
        <v>746</v>
      </c>
    </row>
    <row r="5" spans="2:8" s="825" customFormat="1" ht="17">
      <c r="B5" s="830" t="s">
        <v>744</v>
      </c>
      <c r="C5" s="831" t="s">
        <v>745</v>
      </c>
      <c r="D5" s="832">
        <f>'Other utilities '!D6</f>
        <v>0</v>
      </c>
      <c r="E5" s="833">
        <f>'Other utilities '!D21</f>
        <v>0</v>
      </c>
    </row>
    <row r="6" spans="2:8" s="825" customFormat="1" ht="17">
      <c r="B6" s="830" t="s">
        <v>753</v>
      </c>
      <c r="C6" s="831" t="s">
        <v>756</v>
      </c>
      <c r="D6" s="831" t="s">
        <v>70</v>
      </c>
      <c r="E6" s="601" t="str">
        <f>D6</f>
        <v xml:space="preserve">Natural gas </v>
      </c>
    </row>
    <row r="7" spans="2:8" s="825" customFormat="1" ht="34">
      <c r="B7" s="830" t="s">
        <v>751</v>
      </c>
      <c r="C7" s="831" t="s">
        <v>752</v>
      </c>
      <c r="D7" s="831">
        <v>38</v>
      </c>
      <c r="E7" s="601">
        <v>38</v>
      </c>
    </row>
    <row r="8" spans="2:8" s="825" customFormat="1" ht="34">
      <c r="B8" s="830" t="s">
        <v>761</v>
      </c>
      <c r="C8" s="831" t="s">
        <v>763</v>
      </c>
      <c r="D8" s="834">
        <f>'Calculator '!D40</f>
        <v>0</v>
      </c>
      <c r="E8" s="835">
        <f>'Calculator '!E40</f>
        <v>0</v>
      </c>
    </row>
    <row r="9" spans="2:8" s="825" customFormat="1" ht="34">
      <c r="B9" s="830" t="s">
        <v>762</v>
      </c>
      <c r="C9" s="831" t="s">
        <v>763</v>
      </c>
      <c r="D9" s="836">
        <f>'Calculator '!D46</f>
        <v>0</v>
      </c>
      <c r="E9" s="837">
        <f>'Calculator '!E46</f>
        <v>0</v>
      </c>
    </row>
    <row r="10" spans="2:8" s="825" customFormat="1" ht="34">
      <c r="B10" s="830" t="s">
        <v>757</v>
      </c>
      <c r="C10" s="831" t="s">
        <v>764</v>
      </c>
      <c r="D10" s="836">
        <f>(D7/3.78)*D9/1000</f>
        <v>0</v>
      </c>
      <c r="E10" s="837">
        <f>(E7/3.78)*E9/1000</f>
        <v>0</v>
      </c>
      <c r="H10" s="603"/>
    </row>
    <row r="11" spans="2:8" s="825" customFormat="1" ht="17">
      <c r="B11" s="830" t="s">
        <v>758</v>
      </c>
      <c r="C11" s="831" t="s">
        <v>759</v>
      </c>
      <c r="D11" s="836">
        <f>(D7/3.78)*D8/1000</f>
        <v>0</v>
      </c>
      <c r="E11" s="837">
        <f>(E7/3.78)*E8/1000</f>
        <v>0</v>
      </c>
      <c r="G11" s="603" t="s">
        <v>36</v>
      </c>
    </row>
    <row r="12" spans="2:8" s="825" customFormat="1" ht="34">
      <c r="B12" s="830" t="s">
        <v>767</v>
      </c>
      <c r="C12" s="831" t="s">
        <v>759</v>
      </c>
      <c r="D12" s="831">
        <v>0</v>
      </c>
      <c r="E12" s="601">
        <v>0</v>
      </c>
    </row>
    <row r="13" spans="2:8" s="825" customFormat="1" ht="17">
      <c r="B13" s="830" t="s">
        <v>765</v>
      </c>
      <c r="C13" s="831"/>
      <c r="D13" s="831">
        <f>'Calculator '!D29</f>
        <v>0</v>
      </c>
      <c r="E13" s="601">
        <f>'Calculator '!E29</f>
        <v>0</v>
      </c>
    </row>
    <row r="14" spans="2:8" s="825" customFormat="1" ht="17">
      <c r="B14" s="830" t="s">
        <v>747</v>
      </c>
      <c r="C14" s="831" t="s">
        <v>748</v>
      </c>
      <c r="D14" s="838">
        <f>D13*('Water use module'!D9+'Water use module'!D11)</f>
        <v>0</v>
      </c>
      <c r="E14" s="839">
        <f>E13*('Water use module'!E9+'Water use module'!E11)</f>
        <v>0</v>
      </c>
    </row>
    <row r="15" spans="2:8" s="825" customFormat="1" ht="34">
      <c r="B15" s="830" t="s">
        <v>754</v>
      </c>
      <c r="C15" s="831" t="s">
        <v>749</v>
      </c>
      <c r="D15" s="840">
        <f>'Other utilities '!D23</f>
        <v>0</v>
      </c>
      <c r="E15" s="841">
        <f>D15</f>
        <v>0</v>
      </c>
    </row>
    <row r="16" spans="2:8" s="825" customFormat="1" ht="18" thickBot="1">
      <c r="B16" s="842" t="s">
        <v>766</v>
      </c>
      <c r="C16" s="843"/>
      <c r="D16" s="844">
        <f>D14*D15/1000</f>
        <v>0</v>
      </c>
      <c r="E16" s="845">
        <f>E14*E15/1000</f>
        <v>0</v>
      </c>
      <c r="H16" s="603" t="s">
        <v>36</v>
      </c>
    </row>
    <row r="17" spans="2:5" s="825" customFormat="1" ht="17" thickBot="1">
      <c r="B17" s="846"/>
      <c r="C17" s="847"/>
      <c r="D17" s="847"/>
      <c r="E17" s="848"/>
    </row>
    <row r="18" spans="2:5" s="825" customFormat="1"/>
    <row r="19" spans="2:5" s="825" customFormat="1">
      <c r="B19" s="967" t="s">
        <v>755</v>
      </c>
      <c r="C19" s="967"/>
      <c r="D19" s="967"/>
      <c r="E19" s="967"/>
    </row>
    <row r="20" spans="2:5" s="825" customFormat="1"/>
    <row r="21" spans="2:5" s="825" customFormat="1"/>
    <row r="22" spans="2:5" s="825" customFormat="1"/>
    <row r="23" spans="2:5" s="825" customFormat="1"/>
    <row r="24" spans="2:5" s="825" customFormat="1"/>
    <row r="25" spans="2:5"/>
    <row r="26" spans="2:5"/>
    <row r="27" spans="2:5"/>
    <row r="28" spans="2:5"/>
    <row r="29" spans="2:5"/>
    <row r="30" spans="2:5"/>
    <row r="31" spans="2:5"/>
    <row r="32" spans="2:5"/>
    <row r="33" spans="2:9"/>
    <row r="34" spans="2:9" ht="33" customHeight="1">
      <c r="B34" s="1196" t="s">
        <v>750</v>
      </c>
      <c r="C34" s="1196"/>
      <c r="D34" s="1196"/>
      <c r="E34" s="1196"/>
      <c r="F34" s="1196"/>
      <c r="G34" s="1196"/>
      <c r="H34" s="1196"/>
      <c r="I34" s="1196"/>
    </row>
    <row r="35" spans="2:9"/>
  </sheetData>
  <mergeCells count="2">
    <mergeCell ref="B19:E19"/>
    <mergeCell ref="B34:I34"/>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C3:O45"/>
  <sheetViews>
    <sheetView workbookViewId="0"/>
  </sheetViews>
  <sheetFormatPr baseColWidth="10" defaultColWidth="8.83203125" defaultRowHeight="16"/>
  <cols>
    <col min="4" max="4" width="18" customWidth="1"/>
    <col min="6" max="17" width="12.6640625" customWidth="1"/>
  </cols>
  <sheetData>
    <row r="3" spans="3:15">
      <c r="C3" t="s">
        <v>92</v>
      </c>
      <c r="D3" t="s">
        <v>93</v>
      </c>
      <c r="E3" t="s">
        <v>94</v>
      </c>
      <c r="F3" t="s">
        <v>95</v>
      </c>
      <c r="G3" t="s">
        <v>280</v>
      </c>
      <c r="H3" t="s">
        <v>365</v>
      </c>
      <c r="I3" t="s">
        <v>281</v>
      </c>
      <c r="J3" t="s">
        <v>366</v>
      </c>
      <c r="K3" t="s">
        <v>282</v>
      </c>
      <c r="L3" t="s">
        <v>96</v>
      </c>
      <c r="M3" t="s">
        <v>283</v>
      </c>
      <c r="N3" t="s">
        <v>284</v>
      </c>
      <c r="O3" t="s">
        <v>285</v>
      </c>
    </row>
    <row r="4" spans="3:15">
      <c r="F4" t="s">
        <v>286</v>
      </c>
      <c r="G4">
        <v>16.02</v>
      </c>
      <c r="H4">
        <v>4.1870000000000003</v>
      </c>
      <c r="I4">
        <v>2.3260000000000001</v>
      </c>
      <c r="J4">
        <v>4.1870000000000003</v>
      </c>
      <c r="K4" t="s">
        <v>101</v>
      </c>
      <c r="L4" t="s">
        <v>101</v>
      </c>
      <c r="M4">
        <v>2.3260000000000001</v>
      </c>
      <c r="N4">
        <v>2.3260000000000001</v>
      </c>
      <c r="O4">
        <v>2.3260000000000001</v>
      </c>
    </row>
    <row r="5" spans="3:15">
      <c r="C5">
        <v>1</v>
      </c>
      <c r="D5" t="s">
        <v>103</v>
      </c>
      <c r="E5" t="s">
        <v>102</v>
      </c>
      <c r="F5" t="s">
        <v>287</v>
      </c>
      <c r="G5">
        <v>166.69975031210987</v>
      </c>
      <c r="H5">
        <v>0.24791019823262478</v>
      </c>
      <c r="I5">
        <v>169</v>
      </c>
      <c r="J5">
        <v>0.26009075710532598</v>
      </c>
      <c r="K5">
        <v>1214.9960000000001</v>
      </c>
      <c r="L5">
        <v>1380.002</v>
      </c>
      <c r="M5">
        <v>286</v>
      </c>
      <c r="N5">
        <v>454.99999999999994</v>
      </c>
      <c r="O5">
        <v>496.99999999999994</v>
      </c>
    </row>
    <row r="6" spans="3:15">
      <c r="C6">
        <v>2</v>
      </c>
      <c r="D6" t="s">
        <v>288</v>
      </c>
      <c r="E6" t="s">
        <v>102</v>
      </c>
      <c r="F6" t="s">
        <v>289</v>
      </c>
      <c r="G6">
        <v>0</v>
      </c>
      <c r="H6">
        <v>3.8930021495103891E-2</v>
      </c>
      <c r="I6">
        <v>26.199914015477216</v>
      </c>
      <c r="J6">
        <v>3.7974683544303799E-2</v>
      </c>
      <c r="K6">
        <v>462.00200000000001</v>
      </c>
      <c r="L6">
        <v>624.99199999999996</v>
      </c>
      <c r="M6">
        <v>15.800085984522784</v>
      </c>
      <c r="N6">
        <v>41.999999999999993</v>
      </c>
      <c r="O6">
        <v>48</v>
      </c>
    </row>
    <row r="7" spans="3:15">
      <c r="C7">
        <v>3</v>
      </c>
      <c r="D7" t="s">
        <v>290</v>
      </c>
      <c r="E7" t="s">
        <v>102</v>
      </c>
      <c r="F7" t="s">
        <v>291</v>
      </c>
      <c r="G7">
        <v>462</v>
      </c>
      <c r="H7">
        <v>7.0933842846907083E-2</v>
      </c>
      <c r="I7">
        <v>34.100171969045569</v>
      </c>
      <c r="J7">
        <v>6.3052304752806307E-2</v>
      </c>
      <c r="K7">
        <v>464</v>
      </c>
      <c r="L7">
        <v>915.99800000000005</v>
      </c>
      <c r="M7">
        <v>28.600171969045572</v>
      </c>
      <c r="N7">
        <v>67.699914015477205</v>
      </c>
      <c r="O7">
        <v>91</v>
      </c>
    </row>
    <row r="8" spans="3:15">
      <c r="C8">
        <v>4</v>
      </c>
      <c r="D8" t="s">
        <v>292</v>
      </c>
      <c r="E8" t="s">
        <v>102</v>
      </c>
      <c r="F8" t="s">
        <v>293</v>
      </c>
      <c r="G8">
        <v>612</v>
      </c>
      <c r="H8">
        <v>3.2959159302603298E-2</v>
      </c>
      <c r="I8">
        <v>18.5</v>
      </c>
      <c r="J8">
        <v>3.5108669691903509E-2</v>
      </c>
      <c r="K8">
        <v>518</v>
      </c>
      <c r="L8">
        <v>620.00600000000009</v>
      </c>
      <c r="M8">
        <v>15.10017196904557</v>
      </c>
      <c r="N8">
        <v>33.600171969045569</v>
      </c>
      <c r="O8">
        <v>37.199914015477212</v>
      </c>
    </row>
    <row r="9" spans="3:15">
      <c r="C9">
        <v>5</v>
      </c>
      <c r="D9" t="s">
        <v>294</v>
      </c>
      <c r="E9" t="s">
        <v>102</v>
      </c>
      <c r="F9" t="s">
        <v>295</v>
      </c>
      <c r="G9">
        <v>524</v>
      </c>
      <c r="H9">
        <v>0.10508717458801051</v>
      </c>
      <c r="I9">
        <v>69</v>
      </c>
      <c r="J9">
        <v>0.12491043706711248</v>
      </c>
      <c r="K9">
        <v>1630.0039999999999</v>
      </c>
      <c r="L9">
        <v>1850</v>
      </c>
      <c r="M9">
        <v>165</v>
      </c>
      <c r="N9">
        <v>234</v>
      </c>
      <c r="O9">
        <v>261</v>
      </c>
    </row>
    <row r="10" spans="3:15">
      <c r="C10">
        <v>6</v>
      </c>
      <c r="D10" t="s">
        <v>296</v>
      </c>
      <c r="E10" t="s">
        <v>102</v>
      </c>
      <c r="F10" t="s">
        <v>297</v>
      </c>
      <c r="G10">
        <v>546</v>
      </c>
      <c r="H10">
        <v>0.10389300214951039</v>
      </c>
      <c r="I10">
        <v>86.5</v>
      </c>
      <c r="J10">
        <v>0.11511822307141149</v>
      </c>
      <c r="K10">
        <v>1952.0060000000001</v>
      </c>
      <c r="L10">
        <v>2249.9960000000001</v>
      </c>
      <c r="M10">
        <v>196.99999999999997</v>
      </c>
      <c r="N10">
        <v>283.5</v>
      </c>
      <c r="O10">
        <v>317.80008598452275</v>
      </c>
    </row>
    <row r="11" spans="3:15">
      <c r="C11">
        <v>7</v>
      </c>
      <c r="D11" t="s">
        <v>298</v>
      </c>
      <c r="E11" t="s">
        <v>102</v>
      </c>
      <c r="F11" t="s">
        <v>299</v>
      </c>
      <c r="G11">
        <v>528</v>
      </c>
      <c r="H11">
        <v>0.10508717458801051</v>
      </c>
      <c r="I11">
        <v>70.999999999999986</v>
      </c>
      <c r="J11">
        <v>0.1229997611655123</v>
      </c>
      <c r="K11">
        <v>1688</v>
      </c>
      <c r="L11">
        <v>1950.008</v>
      </c>
      <c r="M11">
        <v>171</v>
      </c>
      <c r="N11">
        <v>242.00000000000003</v>
      </c>
      <c r="O11">
        <v>274.19991401547719</v>
      </c>
    </row>
    <row r="12" spans="3:15">
      <c r="C12">
        <v>8</v>
      </c>
      <c r="D12" t="s">
        <v>300</v>
      </c>
      <c r="E12" t="s">
        <v>102</v>
      </c>
      <c r="F12" t="s">
        <v>301</v>
      </c>
      <c r="G12">
        <v>556.00000000000011</v>
      </c>
      <c r="H12">
        <v>9.5056126104609506E-2</v>
      </c>
      <c r="I12">
        <v>79.899828030954424</v>
      </c>
      <c r="J12">
        <v>0.10890852639121089</v>
      </c>
      <c r="K12">
        <v>1832</v>
      </c>
      <c r="L12">
        <v>2049.9979999999996</v>
      </c>
      <c r="M12">
        <v>168.30008598452278</v>
      </c>
      <c r="N12">
        <v>248.19991401547719</v>
      </c>
      <c r="O12">
        <v>272</v>
      </c>
    </row>
    <row r="13" spans="3:15">
      <c r="C13">
        <v>9</v>
      </c>
      <c r="D13" t="s">
        <v>302</v>
      </c>
      <c r="E13" t="s">
        <v>102</v>
      </c>
      <c r="F13" t="s">
        <v>303</v>
      </c>
      <c r="G13">
        <v>510</v>
      </c>
      <c r="H13">
        <v>0.12610460950561261</v>
      </c>
      <c r="I13">
        <v>98.600171969045562</v>
      </c>
      <c r="J13">
        <v>0.12491043706711248</v>
      </c>
      <c r="K13">
        <v>1922</v>
      </c>
      <c r="L13">
        <v>2199.9920000000002</v>
      </c>
      <c r="M13">
        <v>235</v>
      </c>
      <c r="N13">
        <v>333.60017196904556</v>
      </c>
      <c r="O13">
        <v>368</v>
      </c>
    </row>
    <row r="14" spans="3:15">
      <c r="C14">
        <v>10</v>
      </c>
      <c r="D14" t="s">
        <v>304</v>
      </c>
      <c r="E14" t="s">
        <v>102</v>
      </c>
      <c r="F14" t="s">
        <v>305</v>
      </c>
      <c r="G14">
        <v>540</v>
      </c>
      <c r="H14">
        <v>0.10007165034630999</v>
      </c>
      <c r="I14">
        <v>76.300085984522781</v>
      </c>
      <c r="J14">
        <v>0.11893957487461189</v>
      </c>
      <c r="K14">
        <v>1634</v>
      </c>
      <c r="L14">
        <v>1900.0039999999999</v>
      </c>
      <c r="M14">
        <v>157.39982803095444</v>
      </c>
      <c r="N14">
        <v>233.69991401547722</v>
      </c>
      <c r="O14">
        <v>265.39982803095444</v>
      </c>
    </row>
    <row r="15" spans="3:15">
      <c r="C15">
        <v>11</v>
      </c>
      <c r="D15" t="s">
        <v>306</v>
      </c>
      <c r="E15" t="s">
        <v>102</v>
      </c>
      <c r="F15" t="s">
        <v>307</v>
      </c>
      <c r="G15">
        <v>550</v>
      </c>
      <c r="H15">
        <v>0.10699785048961069</v>
      </c>
      <c r="I15">
        <v>84.199914015477205</v>
      </c>
      <c r="J15">
        <v>0.1060425125388106</v>
      </c>
      <c r="K15">
        <v>1850</v>
      </c>
      <c r="L15">
        <v>2100.0020000000004</v>
      </c>
      <c r="M15">
        <v>191.49999999999997</v>
      </c>
      <c r="N15">
        <v>275.69991401547719</v>
      </c>
      <c r="O15">
        <v>302</v>
      </c>
    </row>
    <row r="16" spans="3:15">
      <c r="C16">
        <v>12</v>
      </c>
      <c r="D16" t="s">
        <v>308</v>
      </c>
      <c r="E16" t="s">
        <v>102</v>
      </c>
      <c r="F16" t="s">
        <v>309</v>
      </c>
      <c r="G16">
        <v>525</v>
      </c>
      <c r="H16">
        <v>0.10699785048961069</v>
      </c>
      <c r="I16">
        <v>73.5</v>
      </c>
      <c r="J16">
        <v>0.12395509911631239</v>
      </c>
      <c r="K16">
        <v>1625</v>
      </c>
      <c r="L16">
        <v>1850</v>
      </c>
      <c r="M16">
        <v>167.5</v>
      </c>
      <c r="N16">
        <v>241</v>
      </c>
      <c r="O16">
        <v>268.89982803095444</v>
      </c>
    </row>
    <row r="17" spans="3:15">
      <c r="C17">
        <v>13</v>
      </c>
      <c r="D17" t="s">
        <v>310</v>
      </c>
      <c r="E17" t="s">
        <v>102</v>
      </c>
      <c r="F17" t="s">
        <v>311</v>
      </c>
      <c r="G17">
        <v>480.00000000000006</v>
      </c>
      <c r="H17">
        <v>0.14998805827561498</v>
      </c>
      <c r="I17">
        <v>60</v>
      </c>
      <c r="J17">
        <v>0.17497014568903749</v>
      </c>
      <c r="K17">
        <v>2800.0039999999999</v>
      </c>
      <c r="L17">
        <v>-4.0000000000048885E-3</v>
      </c>
      <c r="M17">
        <v>0</v>
      </c>
      <c r="N17">
        <v>0</v>
      </c>
      <c r="O17">
        <v>0</v>
      </c>
    </row>
    <row r="18" spans="3:15">
      <c r="C18">
        <v>14</v>
      </c>
      <c r="D18" t="s">
        <v>312</v>
      </c>
      <c r="E18" t="s">
        <v>102</v>
      </c>
      <c r="F18" t="s">
        <v>313</v>
      </c>
      <c r="G18">
        <v>559</v>
      </c>
      <c r="H18">
        <v>0.10389300214951039</v>
      </c>
      <c r="I18">
        <v>91</v>
      </c>
      <c r="J18">
        <v>0.1110580367805111</v>
      </c>
      <c r="K18">
        <v>1981.9939999999999</v>
      </c>
      <c r="L18">
        <v>2199.9920000000002</v>
      </c>
      <c r="M18">
        <v>200</v>
      </c>
      <c r="N18">
        <v>291</v>
      </c>
      <c r="O18">
        <v>315</v>
      </c>
    </row>
    <row r="19" spans="3:15">
      <c r="C19">
        <v>15</v>
      </c>
      <c r="D19" t="s">
        <v>314</v>
      </c>
      <c r="E19" t="s">
        <v>102</v>
      </c>
      <c r="F19" t="s">
        <v>315</v>
      </c>
      <c r="G19">
        <v>176</v>
      </c>
      <c r="H19">
        <v>0.23596847384762357</v>
      </c>
      <c r="I19">
        <v>162.99999999999997</v>
      </c>
      <c r="J19">
        <v>0.24098399808932405</v>
      </c>
      <c r="K19">
        <v>1149.998</v>
      </c>
      <c r="L19">
        <v>1400</v>
      </c>
      <c r="M19">
        <v>257.30008598452281</v>
      </c>
      <c r="N19">
        <v>420.30008598452281</v>
      </c>
      <c r="O19">
        <v>481</v>
      </c>
    </row>
    <row r="20" spans="3:15">
      <c r="C20">
        <v>16</v>
      </c>
      <c r="D20" t="s">
        <v>314</v>
      </c>
      <c r="E20" t="s">
        <v>102</v>
      </c>
      <c r="F20" t="s">
        <v>316</v>
      </c>
      <c r="G20">
        <v>176</v>
      </c>
      <c r="H20">
        <v>3.7974683544303799E-2</v>
      </c>
      <c r="I20">
        <v>17.5</v>
      </c>
      <c r="J20">
        <v>3.70193455935037E-2</v>
      </c>
      <c r="K20">
        <v>600.00800000000004</v>
      </c>
      <c r="L20">
        <v>820.00400000000002</v>
      </c>
      <c r="M20">
        <v>20.5</v>
      </c>
      <c r="N20">
        <v>38</v>
      </c>
      <c r="O20">
        <v>146</v>
      </c>
    </row>
    <row r="21" spans="3:15">
      <c r="C21">
        <v>17</v>
      </c>
      <c r="D21" t="s">
        <v>314</v>
      </c>
      <c r="E21" t="s">
        <v>102</v>
      </c>
      <c r="F21" t="s">
        <v>317</v>
      </c>
      <c r="G21">
        <v>176</v>
      </c>
      <c r="H21">
        <v>6.9978504896106991E-2</v>
      </c>
      <c r="I21">
        <v>30.199914015477216</v>
      </c>
      <c r="J21">
        <v>6.2096966802006208E-2</v>
      </c>
      <c r="K21">
        <v>449.99599999999998</v>
      </c>
      <c r="L21">
        <v>649.99400000000003</v>
      </c>
      <c r="M21">
        <v>27.600171969045569</v>
      </c>
      <c r="N21">
        <v>57.800085984522788</v>
      </c>
      <c r="O21">
        <v>70</v>
      </c>
    </row>
    <row r="22" spans="3:15">
      <c r="C22">
        <v>18</v>
      </c>
      <c r="D22" t="s">
        <v>314</v>
      </c>
      <c r="E22" t="s">
        <v>102</v>
      </c>
      <c r="F22" t="s">
        <v>318</v>
      </c>
      <c r="G22">
        <v>176</v>
      </c>
      <c r="H22">
        <v>0.10293766419871028</v>
      </c>
      <c r="I22">
        <v>48</v>
      </c>
      <c r="J22">
        <v>0.1380463338906138</v>
      </c>
      <c r="K22">
        <v>780.00800000000004</v>
      </c>
      <c r="L22">
        <v>980.00599999999997</v>
      </c>
      <c r="M22">
        <v>74</v>
      </c>
      <c r="N22">
        <v>121.99999999999999</v>
      </c>
      <c r="O22">
        <v>150</v>
      </c>
    </row>
    <row r="23" spans="3:15">
      <c r="C23">
        <v>19</v>
      </c>
      <c r="D23" t="s">
        <v>319</v>
      </c>
      <c r="E23" t="s">
        <v>102</v>
      </c>
      <c r="F23" t="s">
        <v>320</v>
      </c>
      <c r="G23">
        <v>176</v>
      </c>
      <c r="H23">
        <v>0.10890852639121089</v>
      </c>
      <c r="I23">
        <v>86.199914015477219</v>
      </c>
      <c r="J23">
        <v>0.1229997611655123</v>
      </c>
      <c r="K23">
        <v>1850</v>
      </c>
      <c r="L23">
        <v>2100.0020000000004</v>
      </c>
      <c r="M23">
        <v>194</v>
      </c>
      <c r="N23">
        <v>280.19991401547719</v>
      </c>
      <c r="O23">
        <v>311</v>
      </c>
    </row>
    <row r="24" spans="3:15">
      <c r="C24">
        <v>20</v>
      </c>
      <c r="D24" t="s">
        <v>321</v>
      </c>
      <c r="E24" t="s">
        <v>102</v>
      </c>
      <c r="F24" t="s">
        <v>322</v>
      </c>
      <c r="G24">
        <v>1205</v>
      </c>
      <c r="H24">
        <v>3.2959159302603298E-2</v>
      </c>
      <c r="I24">
        <v>28.499999999999996</v>
      </c>
      <c r="J24">
        <v>3.3914497253403383E-2</v>
      </c>
      <c r="K24">
        <v>1945.0039999999999</v>
      </c>
      <c r="L24">
        <v>2150.0060000000003</v>
      </c>
      <c r="M24">
        <v>62.199914015477212</v>
      </c>
      <c r="N24">
        <v>90.699914015477205</v>
      </c>
      <c r="O24">
        <v>97.699914015477205</v>
      </c>
    </row>
    <row r="25" spans="3:15">
      <c r="C25">
        <v>21</v>
      </c>
      <c r="D25" t="s">
        <v>323</v>
      </c>
      <c r="E25" t="s">
        <v>102</v>
      </c>
      <c r="F25" t="s">
        <v>324</v>
      </c>
      <c r="G25">
        <v>480.00000000000006</v>
      </c>
      <c r="H25">
        <v>0.13995700979221398</v>
      </c>
      <c r="I25">
        <v>0</v>
      </c>
      <c r="J25">
        <v>0</v>
      </c>
      <c r="K25">
        <v>2499.998</v>
      </c>
      <c r="L25">
        <v>-4.0000000000048885E-3</v>
      </c>
      <c r="M25">
        <v>0</v>
      </c>
      <c r="N25">
        <v>0</v>
      </c>
      <c r="O25">
        <v>0</v>
      </c>
    </row>
    <row r="26" spans="3:15">
      <c r="C26">
        <v>22</v>
      </c>
      <c r="D26" t="s">
        <v>325</v>
      </c>
      <c r="E26" t="s">
        <v>102</v>
      </c>
      <c r="F26" t="s">
        <v>326</v>
      </c>
      <c r="G26">
        <v>480.00000000000006</v>
      </c>
      <c r="H26">
        <v>0.19011225220921901</v>
      </c>
      <c r="I26">
        <v>41.399828030954431</v>
      </c>
      <c r="J26">
        <v>0</v>
      </c>
      <c r="K26">
        <v>2246</v>
      </c>
      <c r="L26">
        <v>2800.0039999999999</v>
      </c>
      <c r="M26">
        <v>415</v>
      </c>
      <c r="N26">
        <v>455.99999999999994</v>
      </c>
      <c r="O26">
        <v>583</v>
      </c>
    </row>
    <row r="27" spans="3:15">
      <c r="C27">
        <v>23</v>
      </c>
      <c r="D27" t="s">
        <v>327</v>
      </c>
      <c r="E27" t="s">
        <v>102</v>
      </c>
      <c r="F27" t="s">
        <v>328</v>
      </c>
      <c r="G27">
        <v>480.00000000000006</v>
      </c>
      <c r="H27">
        <v>0.18008120372581798</v>
      </c>
      <c r="I27">
        <v>60.300085984522788</v>
      </c>
      <c r="J27">
        <v>0</v>
      </c>
      <c r="K27">
        <v>2102</v>
      </c>
      <c r="L27">
        <v>2899.9940000000001</v>
      </c>
      <c r="M27">
        <v>368</v>
      </c>
      <c r="N27">
        <v>428</v>
      </c>
      <c r="O27">
        <v>612</v>
      </c>
    </row>
    <row r="28" spans="3:15">
      <c r="C28">
        <v>24</v>
      </c>
      <c r="D28" t="s">
        <v>329</v>
      </c>
      <c r="E28" t="s">
        <v>102</v>
      </c>
      <c r="F28" t="s">
        <v>330</v>
      </c>
      <c r="G28">
        <v>480.00000000000006</v>
      </c>
      <c r="H28">
        <v>0.15309290661571531</v>
      </c>
      <c r="I28">
        <v>83.600171969045576</v>
      </c>
      <c r="J28">
        <v>0</v>
      </c>
      <c r="K28">
        <v>2012</v>
      </c>
      <c r="L28">
        <v>2300</v>
      </c>
      <c r="M28">
        <v>299</v>
      </c>
      <c r="N28">
        <v>384</v>
      </c>
      <c r="O28">
        <v>450</v>
      </c>
    </row>
    <row r="29" spans="3:15">
      <c r="C29">
        <v>25</v>
      </c>
      <c r="D29" t="s">
        <v>331</v>
      </c>
      <c r="E29" t="s">
        <v>102</v>
      </c>
      <c r="F29" t="s">
        <v>332</v>
      </c>
      <c r="G29">
        <v>491</v>
      </c>
      <c r="H29">
        <v>0.16790064485311676</v>
      </c>
      <c r="I29">
        <v>117</v>
      </c>
      <c r="J29">
        <v>0.14998805827561498</v>
      </c>
      <c r="K29">
        <v>2802.0020000000004</v>
      </c>
      <c r="L29">
        <v>3099.9920000000002</v>
      </c>
      <c r="M29">
        <v>451</v>
      </c>
      <c r="N29">
        <v>567.99999999999989</v>
      </c>
      <c r="O29">
        <v>626</v>
      </c>
    </row>
    <row r="30" spans="3:15">
      <c r="C30">
        <v>26</v>
      </c>
      <c r="D30" t="s">
        <v>333</v>
      </c>
      <c r="E30" t="s">
        <v>102</v>
      </c>
      <c r="F30" t="s">
        <v>334</v>
      </c>
      <c r="G30">
        <v>708</v>
      </c>
      <c r="H30">
        <v>3.2003821351803199E-2</v>
      </c>
      <c r="I30">
        <v>10</v>
      </c>
      <c r="J30">
        <v>3.3914497253403383E-2</v>
      </c>
      <c r="K30">
        <v>620.99600000000009</v>
      </c>
      <c r="L30">
        <v>719.99600000000009</v>
      </c>
      <c r="M30">
        <v>18</v>
      </c>
      <c r="N30">
        <v>28</v>
      </c>
      <c r="O30">
        <v>30.999999999999996</v>
      </c>
    </row>
    <row r="31" spans="3:15">
      <c r="C31">
        <v>27</v>
      </c>
      <c r="D31" t="s">
        <v>335</v>
      </c>
      <c r="E31" t="s">
        <v>102</v>
      </c>
      <c r="F31" t="s">
        <v>336</v>
      </c>
      <c r="G31">
        <v>700</v>
      </c>
      <c r="H31">
        <v>3.6064007642703601E-2</v>
      </c>
      <c r="I31">
        <v>21.5</v>
      </c>
      <c r="J31">
        <v>3.6064007642703601E-2</v>
      </c>
      <c r="K31">
        <v>485.99599999999998</v>
      </c>
      <c r="L31">
        <v>620.00600000000009</v>
      </c>
      <c r="M31">
        <v>15.300085984522786</v>
      </c>
      <c r="N31">
        <v>36.800085984522781</v>
      </c>
      <c r="O31">
        <v>41.600171969045569</v>
      </c>
    </row>
    <row r="32" spans="3:15">
      <c r="C32">
        <v>28</v>
      </c>
      <c r="D32" t="s">
        <v>337</v>
      </c>
      <c r="E32" t="s">
        <v>102</v>
      </c>
      <c r="F32" t="s">
        <v>338</v>
      </c>
      <c r="G32">
        <v>108.59987515605494</v>
      </c>
      <c r="H32">
        <v>0.27203248149032722</v>
      </c>
      <c r="I32">
        <v>83.699914015477219</v>
      </c>
      <c r="J32">
        <v>0.26606161929782662</v>
      </c>
      <c r="K32">
        <v>1203.998</v>
      </c>
      <c r="L32">
        <v>1380.002</v>
      </c>
      <c r="M32">
        <v>311.19991401547719</v>
      </c>
      <c r="N32">
        <v>394.89982803095444</v>
      </c>
      <c r="O32">
        <v>441.69991401547719</v>
      </c>
    </row>
    <row r="33" spans="3:15">
      <c r="C33">
        <v>29</v>
      </c>
      <c r="D33" t="s">
        <v>339</v>
      </c>
      <c r="E33" t="s">
        <v>102</v>
      </c>
      <c r="F33" t="s">
        <v>340</v>
      </c>
      <c r="G33">
        <v>464</v>
      </c>
      <c r="H33">
        <v>0.17100549319321709</v>
      </c>
      <c r="I33">
        <v>66</v>
      </c>
      <c r="J33">
        <v>0.1920229281108192</v>
      </c>
      <c r="K33">
        <v>2246</v>
      </c>
      <c r="L33">
        <v>2400.0079999999998</v>
      </c>
      <c r="M33">
        <v>374</v>
      </c>
      <c r="N33">
        <v>440</v>
      </c>
      <c r="O33">
        <v>469</v>
      </c>
    </row>
    <row r="34" spans="3:15">
      <c r="C34">
        <v>30</v>
      </c>
      <c r="D34" t="s">
        <v>341</v>
      </c>
      <c r="E34" t="s">
        <v>102</v>
      </c>
      <c r="F34" t="s">
        <v>342</v>
      </c>
      <c r="G34">
        <v>550</v>
      </c>
      <c r="H34">
        <v>0.1289706233580129</v>
      </c>
      <c r="I34">
        <v>117.39982803095442</v>
      </c>
      <c r="J34">
        <v>0.13900167184141388</v>
      </c>
      <c r="K34">
        <v>2415.0020000000004</v>
      </c>
      <c r="L34">
        <v>2750</v>
      </c>
      <c r="M34">
        <v>304</v>
      </c>
      <c r="N34">
        <v>421.39982803095444</v>
      </c>
      <c r="O34">
        <v>468</v>
      </c>
    </row>
    <row r="35" spans="3:15">
      <c r="C35">
        <v>31</v>
      </c>
      <c r="D35" t="s">
        <v>343</v>
      </c>
      <c r="E35" t="s">
        <v>102</v>
      </c>
      <c r="F35" t="s">
        <v>344</v>
      </c>
      <c r="G35">
        <v>556.00000000000011</v>
      </c>
      <c r="H35">
        <v>0.13398614759971339</v>
      </c>
      <c r="I35">
        <v>131.5</v>
      </c>
      <c r="J35">
        <v>0.13303080964891331</v>
      </c>
      <c r="K35">
        <v>2643.998</v>
      </c>
      <c r="L35">
        <v>2850.0079999999998</v>
      </c>
      <c r="M35">
        <v>346</v>
      </c>
      <c r="N35">
        <v>477.49999999999994</v>
      </c>
      <c r="O35">
        <v>505.00000000000006</v>
      </c>
    </row>
    <row r="36" spans="3:15">
      <c r="C36">
        <v>32</v>
      </c>
      <c r="D36" t="s">
        <v>345</v>
      </c>
      <c r="E36" t="s">
        <v>102</v>
      </c>
      <c r="F36" t="s">
        <v>346</v>
      </c>
      <c r="G36">
        <v>655</v>
      </c>
      <c r="H36">
        <v>6.3052304752806307E-2</v>
      </c>
      <c r="I36">
        <v>46.800085984522781</v>
      </c>
      <c r="J36">
        <v>6.9978504896106991E-2</v>
      </c>
      <c r="K36">
        <v>1761.998</v>
      </c>
      <c r="L36">
        <v>1950.008</v>
      </c>
      <c r="M36">
        <v>107</v>
      </c>
      <c r="N36">
        <v>153.80008598452278</v>
      </c>
      <c r="O36">
        <v>167</v>
      </c>
    </row>
    <row r="37" spans="3:15">
      <c r="C37">
        <v>33</v>
      </c>
      <c r="D37" t="s">
        <v>347</v>
      </c>
      <c r="E37" t="s">
        <v>102</v>
      </c>
      <c r="F37" t="s">
        <v>348</v>
      </c>
      <c r="G37">
        <v>580</v>
      </c>
      <c r="H37">
        <v>3.988535944590399E-2</v>
      </c>
      <c r="I37">
        <v>16.399828030954428</v>
      </c>
      <c r="J37">
        <v>3.8930021495103891E-2</v>
      </c>
      <c r="K37">
        <v>231.99799999999999</v>
      </c>
      <c r="L37">
        <v>330.00800000000004</v>
      </c>
      <c r="M37">
        <v>9.3000859845227861</v>
      </c>
      <c r="N37">
        <v>25.699914015477212</v>
      </c>
      <c r="O37">
        <v>29.5</v>
      </c>
    </row>
    <row r="38" spans="3:15">
      <c r="C38">
        <v>34</v>
      </c>
      <c r="D38" t="s">
        <v>349</v>
      </c>
      <c r="E38" t="s">
        <v>102</v>
      </c>
      <c r="F38" t="s">
        <v>350</v>
      </c>
      <c r="G38">
        <v>580</v>
      </c>
      <c r="H38">
        <v>5.1110580367805108E-2</v>
      </c>
      <c r="I38">
        <v>23</v>
      </c>
      <c r="J38">
        <v>4.8961069978504891E-2</v>
      </c>
      <c r="K38">
        <v>413.99599999999998</v>
      </c>
      <c r="L38">
        <v>500</v>
      </c>
      <c r="M38">
        <v>18</v>
      </c>
      <c r="N38">
        <v>41</v>
      </c>
      <c r="O38">
        <v>45</v>
      </c>
    </row>
    <row r="39" spans="3:15">
      <c r="C39">
        <v>35</v>
      </c>
      <c r="D39" t="s">
        <v>351</v>
      </c>
      <c r="E39" t="s">
        <v>102</v>
      </c>
      <c r="F39" t="s">
        <v>352</v>
      </c>
      <c r="G39">
        <v>480.00000000000006</v>
      </c>
      <c r="H39">
        <v>0.13995700979221398</v>
      </c>
      <c r="I39">
        <v>0</v>
      </c>
      <c r="J39">
        <v>0</v>
      </c>
      <c r="K39">
        <v>2550.0020000000004</v>
      </c>
      <c r="L39">
        <v>-4.0000000000048885E-3</v>
      </c>
      <c r="M39">
        <v>0</v>
      </c>
      <c r="N39">
        <v>0</v>
      </c>
      <c r="O39">
        <v>0</v>
      </c>
    </row>
    <row r="40" spans="3:15">
      <c r="C40">
        <v>36</v>
      </c>
      <c r="D40" t="s">
        <v>353</v>
      </c>
      <c r="E40" t="s">
        <v>102</v>
      </c>
      <c r="F40" t="s">
        <v>354</v>
      </c>
      <c r="G40">
        <v>480.00000000000006</v>
      </c>
      <c r="H40">
        <v>0.25005970862192495</v>
      </c>
      <c r="I40">
        <v>48</v>
      </c>
      <c r="J40">
        <v>0</v>
      </c>
      <c r="K40">
        <v>2800.0039999999999</v>
      </c>
      <c r="L40">
        <v>2800.0039999999999</v>
      </c>
      <c r="M40">
        <v>750</v>
      </c>
      <c r="N40">
        <v>126</v>
      </c>
      <c r="O40">
        <v>141.99999999999997</v>
      </c>
    </row>
    <row r="41" spans="3:15">
      <c r="C41">
        <v>37</v>
      </c>
      <c r="D41" t="s">
        <v>355</v>
      </c>
      <c r="E41" t="s">
        <v>102</v>
      </c>
      <c r="F41" t="s">
        <v>356</v>
      </c>
      <c r="G41">
        <v>455.00000000000006</v>
      </c>
      <c r="H41">
        <v>6.9023166945306899E-2</v>
      </c>
      <c r="I41">
        <v>25</v>
      </c>
      <c r="J41">
        <v>6.3768808215906372E-2</v>
      </c>
      <c r="K41">
        <v>449.99599999999998</v>
      </c>
      <c r="L41">
        <v>649.99400000000003</v>
      </c>
      <c r="M41">
        <v>27</v>
      </c>
      <c r="N41">
        <v>52</v>
      </c>
      <c r="O41">
        <v>64</v>
      </c>
    </row>
    <row r="42" spans="3:15">
      <c r="C42">
        <v>38</v>
      </c>
      <c r="D42" t="s">
        <v>357</v>
      </c>
      <c r="E42" t="s">
        <v>102</v>
      </c>
      <c r="F42" t="s">
        <v>358</v>
      </c>
      <c r="G42">
        <v>445</v>
      </c>
      <c r="H42">
        <v>0.10699785048961069</v>
      </c>
      <c r="I42">
        <v>48</v>
      </c>
      <c r="J42">
        <v>0.14592787198471457</v>
      </c>
      <c r="K42">
        <v>786.00199999999995</v>
      </c>
      <c r="L42">
        <v>899.99600000000009</v>
      </c>
      <c r="M42">
        <v>77.800085984522781</v>
      </c>
      <c r="N42">
        <v>125.80008598452278</v>
      </c>
      <c r="O42">
        <v>141.99999999999997</v>
      </c>
    </row>
    <row r="43" spans="3:15">
      <c r="C43">
        <v>39</v>
      </c>
      <c r="D43" t="s">
        <v>359</v>
      </c>
      <c r="E43" t="s">
        <v>102</v>
      </c>
      <c r="G43">
        <v>0</v>
      </c>
      <c r="H43">
        <v>0.25005970862192495</v>
      </c>
      <c r="I43">
        <v>0</v>
      </c>
      <c r="J43">
        <v>0</v>
      </c>
      <c r="K43">
        <v>5000</v>
      </c>
      <c r="L43">
        <v>-4.0000000000048885E-3</v>
      </c>
      <c r="M43">
        <v>0</v>
      </c>
      <c r="N43">
        <v>0</v>
      </c>
      <c r="O43">
        <v>0</v>
      </c>
    </row>
    <row r="44" spans="3:15">
      <c r="C44">
        <v>40</v>
      </c>
      <c r="D44" t="s">
        <v>360</v>
      </c>
      <c r="E44" t="s">
        <v>102</v>
      </c>
      <c r="G44">
        <v>0</v>
      </c>
      <c r="H44">
        <v>0.25005970862192495</v>
      </c>
      <c r="I44">
        <v>0</v>
      </c>
      <c r="J44">
        <v>0</v>
      </c>
      <c r="K44">
        <v>5000</v>
      </c>
      <c r="L44">
        <v>-4.0000000000048885E-3</v>
      </c>
      <c r="M44">
        <v>0</v>
      </c>
      <c r="N44">
        <v>0</v>
      </c>
      <c r="O44">
        <v>0</v>
      </c>
    </row>
    <row r="45" spans="3:15">
      <c r="D45" t="s">
        <v>133</v>
      </c>
      <c r="H45" t="s">
        <v>361</v>
      </c>
      <c r="I45" t="s">
        <v>362</v>
      </c>
      <c r="J45" t="s">
        <v>363</v>
      </c>
      <c r="K45" t="s">
        <v>364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C4:Q168"/>
  <sheetViews>
    <sheetView workbookViewId="0"/>
  </sheetViews>
  <sheetFormatPr baseColWidth="10" defaultColWidth="8.83203125" defaultRowHeight="16"/>
  <cols>
    <col min="3" max="3" width="5.1640625" customWidth="1"/>
    <col min="4" max="4" width="24" customWidth="1"/>
    <col min="5" max="6" width="8" customWidth="1"/>
    <col min="7" max="7" width="13" customWidth="1"/>
    <col min="8" max="8" width="12.33203125" customWidth="1"/>
    <col min="9" max="9" width="11.83203125" customWidth="1"/>
    <col min="10" max="10" width="9.1640625" customWidth="1"/>
    <col min="14" max="14" width="17.6640625" customWidth="1"/>
    <col min="17" max="17" width="11.33203125" bestFit="1" customWidth="1"/>
  </cols>
  <sheetData>
    <row r="4" spans="3:17" s="174" customFormat="1" ht="71">
      <c r="C4" s="174" t="s">
        <v>92</v>
      </c>
      <c r="D4" s="174" t="s">
        <v>93</v>
      </c>
      <c r="E4" s="174" t="s">
        <v>385</v>
      </c>
      <c r="F4" s="174" t="s">
        <v>280</v>
      </c>
      <c r="G4" s="174" t="s">
        <v>383</v>
      </c>
      <c r="H4" s="174" t="s">
        <v>367</v>
      </c>
      <c r="I4" s="174" t="s">
        <v>386</v>
      </c>
      <c r="J4" s="174" t="s">
        <v>142</v>
      </c>
      <c r="N4" s="1032" t="s">
        <v>251</v>
      </c>
      <c r="O4" s="188" t="s">
        <v>387</v>
      </c>
      <c r="P4" s="188" t="s">
        <v>390</v>
      </c>
      <c r="Q4" s="174">
        <f>0.0624</f>
        <v>6.2399999999999997E-2</v>
      </c>
    </row>
    <row r="5" spans="3:17" ht="17">
      <c r="F5">
        <v>16.02</v>
      </c>
      <c r="G5" s="182">
        <v>4.1870000000000003</v>
      </c>
      <c r="H5" s="185">
        <v>2.3260000000000001</v>
      </c>
      <c r="I5" s="187">
        <v>4.1870000000000003</v>
      </c>
      <c r="J5" t="s">
        <v>101</v>
      </c>
      <c r="N5" s="1032"/>
      <c r="O5" s="174" t="s">
        <v>388</v>
      </c>
      <c r="P5" s="174" t="s">
        <v>391</v>
      </c>
    </row>
    <row r="6" spans="3:17" s="174" customFormat="1" ht="20">
      <c r="C6" s="174">
        <v>41</v>
      </c>
      <c r="D6" s="174" t="s">
        <v>554</v>
      </c>
      <c r="E6" s="174" t="s">
        <v>251</v>
      </c>
      <c r="F6" s="181">
        <v>825</v>
      </c>
      <c r="G6" s="183">
        <v>0.65010747551946502</v>
      </c>
      <c r="H6" s="186">
        <v>0</v>
      </c>
      <c r="I6" s="181">
        <v>0</v>
      </c>
      <c r="J6" s="184">
        <v>899.99600000000009</v>
      </c>
      <c r="N6" s="1032"/>
      <c r="O6" s="189" t="s">
        <v>389</v>
      </c>
      <c r="P6" s="189" t="s">
        <v>392</v>
      </c>
      <c r="Q6" s="174" t="s">
        <v>553</v>
      </c>
    </row>
    <row r="7" spans="3:17" s="174" customFormat="1" ht="34">
      <c r="C7" s="174">
        <v>42</v>
      </c>
      <c r="D7" s="174" t="s">
        <v>252</v>
      </c>
      <c r="E7" s="174" t="s">
        <v>251</v>
      </c>
      <c r="F7" s="181">
        <v>62.4</v>
      </c>
      <c r="G7" s="183">
        <v>1</v>
      </c>
      <c r="H7" s="186">
        <v>970.30008598452287</v>
      </c>
      <c r="I7" s="181">
        <v>0.47002627179364698</v>
      </c>
      <c r="J7" s="184">
        <v>212</v>
      </c>
      <c r="N7" s="174" t="s">
        <v>368</v>
      </c>
      <c r="O7" s="174">
        <v>25</v>
      </c>
      <c r="P7" s="174">
        <v>1049</v>
      </c>
      <c r="Q7" s="174">
        <f>P7*$Q$4</f>
        <v>65.457599999999999</v>
      </c>
    </row>
    <row r="8" spans="3:17" s="174" customFormat="1" ht="17">
      <c r="C8" s="174">
        <v>43</v>
      </c>
      <c r="D8" s="174" t="s">
        <v>384</v>
      </c>
      <c r="E8" s="174" t="s">
        <v>251</v>
      </c>
      <c r="F8" s="181">
        <v>62.4</v>
      </c>
      <c r="G8" s="183">
        <v>1.0499164079293049</v>
      </c>
      <c r="H8" s="186">
        <v>868</v>
      </c>
      <c r="I8" s="181">
        <v>0.540004776689754</v>
      </c>
      <c r="J8" s="184">
        <v>365</v>
      </c>
      <c r="N8" s="174" t="s">
        <v>369</v>
      </c>
      <c r="O8" s="174">
        <v>25</v>
      </c>
      <c r="P8" s="174">
        <v>784.6</v>
      </c>
      <c r="Q8" s="174">
        <f t="shared" ref="Q8:Q71" si="0">P8*$Q$4</f>
        <v>48.959040000000002</v>
      </c>
    </row>
    <row r="9" spans="3:17" s="174" customFormat="1" ht="17">
      <c r="C9" s="174">
        <v>44</v>
      </c>
      <c r="D9" s="174" t="s">
        <v>368</v>
      </c>
      <c r="E9" s="174" t="s">
        <v>251</v>
      </c>
      <c r="F9" s="181">
        <v>65.45</v>
      </c>
      <c r="G9" s="183">
        <v>0.50991163123955086</v>
      </c>
      <c r="H9" s="186">
        <v>174</v>
      </c>
      <c r="I9" s="181">
        <v>0.40004776689754001</v>
      </c>
      <c r="J9" s="184">
        <v>244.4</v>
      </c>
      <c r="N9" s="174" t="s">
        <v>393</v>
      </c>
      <c r="O9" s="174">
        <v>20</v>
      </c>
      <c r="P9" s="174">
        <v>782</v>
      </c>
      <c r="Q9" s="174">
        <f t="shared" si="0"/>
        <v>48.796799999999998</v>
      </c>
    </row>
    <row r="10" spans="3:17" s="174" customFormat="1" ht="34">
      <c r="C10" s="174">
        <v>45</v>
      </c>
      <c r="D10" s="174" t="s">
        <v>369</v>
      </c>
      <c r="E10" s="174" t="s">
        <v>251</v>
      </c>
      <c r="F10" s="181">
        <v>48.95</v>
      </c>
      <c r="G10" s="183">
        <v>0.34702651062813472</v>
      </c>
      <c r="H10" s="186">
        <v>239</v>
      </c>
      <c r="I10" s="181">
        <v>0.40004776689754001</v>
      </c>
      <c r="J10" s="184">
        <v>129.99200000000002</v>
      </c>
      <c r="N10" s="174" t="s">
        <v>394</v>
      </c>
      <c r="O10" s="174">
        <v>25</v>
      </c>
      <c r="P10" s="174">
        <v>785.1</v>
      </c>
      <c r="Q10" s="174">
        <f t="shared" si="0"/>
        <v>48.99024</v>
      </c>
    </row>
    <row r="11" spans="3:17" s="174" customFormat="1" ht="34">
      <c r="C11" s="174">
        <v>46</v>
      </c>
      <c r="D11" s="174" t="s">
        <v>370</v>
      </c>
      <c r="E11" s="174" t="s">
        <v>251</v>
      </c>
      <c r="F11" s="181">
        <v>49</v>
      </c>
      <c r="G11" s="183">
        <v>0.64795796513016479</v>
      </c>
      <c r="H11" s="186">
        <v>369</v>
      </c>
      <c r="I11" s="181">
        <v>0.44996417482684492</v>
      </c>
      <c r="J11" s="184">
        <v>172.00400000000002</v>
      </c>
      <c r="N11" s="174" t="s">
        <v>395</v>
      </c>
      <c r="O11" s="174">
        <v>25</v>
      </c>
      <c r="P11" s="174">
        <v>786.5</v>
      </c>
      <c r="Q11" s="174">
        <f t="shared" si="0"/>
        <v>49.077599999999997</v>
      </c>
    </row>
    <row r="12" spans="3:17" s="174" customFormat="1" ht="17">
      <c r="C12" s="174">
        <v>47</v>
      </c>
      <c r="D12" s="174" t="s">
        <v>371</v>
      </c>
      <c r="E12" s="174" t="s">
        <v>251</v>
      </c>
      <c r="F12" s="181">
        <v>49</v>
      </c>
      <c r="G12" s="183">
        <v>0.60090757105326009</v>
      </c>
      <c r="H12" s="186">
        <v>481</v>
      </c>
      <c r="I12" s="181">
        <v>0.33006926200143294</v>
      </c>
      <c r="J12" s="184">
        <v>150.99799999999999</v>
      </c>
      <c r="N12" s="174" t="s">
        <v>396</v>
      </c>
      <c r="O12" s="174">
        <v>25</v>
      </c>
      <c r="P12" s="174">
        <v>800</v>
      </c>
      <c r="Q12" s="174">
        <f t="shared" si="0"/>
        <v>49.919999999999995</v>
      </c>
    </row>
    <row r="13" spans="3:17" s="174" customFormat="1" ht="17">
      <c r="C13" s="174">
        <v>48</v>
      </c>
      <c r="D13" s="174" t="s">
        <v>372</v>
      </c>
      <c r="E13" s="174" t="s">
        <v>251</v>
      </c>
      <c r="F13" s="181">
        <v>54.52</v>
      </c>
      <c r="G13" s="183">
        <v>0.42297587771674222</v>
      </c>
      <c r="H13" s="186">
        <v>170</v>
      </c>
      <c r="I13" s="181">
        <v>0.33006926200143294</v>
      </c>
      <c r="J13" s="184">
        <v>176</v>
      </c>
      <c r="N13" s="174" t="s">
        <v>397</v>
      </c>
      <c r="O13" s="174">
        <v>25</v>
      </c>
      <c r="P13" s="174">
        <v>823.5</v>
      </c>
      <c r="Q13" s="174">
        <f t="shared" si="0"/>
        <v>51.386399999999995</v>
      </c>
    </row>
    <row r="14" spans="3:17" s="174" customFormat="1" ht="17">
      <c r="C14" s="174">
        <v>49</v>
      </c>
      <c r="D14" s="174" t="s">
        <v>373</v>
      </c>
      <c r="E14" s="174" t="s">
        <v>251</v>
      </c>
      <c r="F14" s="181">
        <v>194.68</v>
      </c>
      <c r="G14" s="183">
        <v>0.10699785048961069</v>
      </c>
      <c r="H14" s="186">
        <v>82</v>
      </c>
      <c r="I14" s="181">
        <v>5.493193217100549E-2</v>
      </c>
      <c r="J14" s="184">
        <v>141.99799999999999</v>
      </c>
      <c r="N14" s="174" t="s">
        <v>398</v>
      </c>
      <c r="O14" s="174">
        <v>25</v>
      </c>
      <c r="P14" s="174">
        <v>1019</v>
      </c>
      <c r="Q14" s="174">
        <f t="shared" si="0"/>
        <v>63.585599999999999</v>
      </c>
    </row>
    <row r="15" spans="3:17" s="174" customFormat="1" ht="17">
      <c r="C15" s="174">
        <v>50</v>
      </c>
      <c r="D15" s="174" t="s">
        <v>374</v>
      </c>
      <c r="E15" s="174" t="s">
        <v>251</v>
      </c>
      <c r="F15" s="181">
        <v>98.84</v>
      </c>
      <c r="G15" s="183">
        <v>0.21495103893002149</v>
      </c>
      <c r="H15" s="186">
        <v>83.5</v>
      </c>
      <c r="I15" s="181">
        <v>0.25005970862192495</v>
      </c>
      <c r="J15" s="184">
        <v>170.006</v>
      </c>
      <c r="N15" s="174" t="s">
        <v>399</v>
      </c>
      <c r="O15" s="174">
        <v>15</v>
      </c>
      <c r="P15" s="174" t="s">
        <v>400</v>
      </c>
      <c r="Q15" s="174" t="s">
        <v>36</v>
      </c>
    </row>
    <row r="16" spans="3:17" s="174" customFormat="1" ht="37">
      <c r="C16" s="174">
        <v>51</v>
      </c>
      <c r="D16" s="174" t="s">
        <v>555</v>
      </c>
      <c r="E16" s="174" t="s">
        <v>251</v>
      </c>
      <c r="F16" s="181">
        <v>55.53</v>
      </c>
      <c r="G16" s="183">
        <v>0.57009792213995703</v>
      </c>
      <c r="H16" s="186">
        <v>104.99999999999999</v>
      </c>
      <c r="I16" s="181">
        <v>0.55003582517315497</v>
      </c>
      <c r="J16" s="184">
        <v>375.00800000000004</v>
      </c>
      <c r="N16" s="174" t="s">
        <v>401</v>
      </c>
      <c r="O16" s="174">
        <v>10</v>
      </c>
      <c r="P16" s="174">
        <v>1010</v>
      </c>
      <c r="Q16" s="174">
        <f t="shared" si="0"/>
        <v>63.023999999999994</v>
      </c>
    </row>
    <row r="17" spans="3:17" s="174" customFormat="1" ht="17">
      <c r="C17" s="174">
        <v>52</v>
      </c>
      <c r="D17" s="174" t="s">
        <v>375</v>
      </c>
      <c r="E17" s="174" t="s">
        <v>251</v>
      </c>
      <c r="F17" s="181">
        <f>1.013*62.4</f>
        <v>63.211199999999991</v>
      </c>
      <c r="G17" s="183">
        <v>0.57989013613565799</v>
      </c>
      <c r="H17" s="186">
        <v>108</v>
      </c>
      <c r="I17" s="181">
        <v>0.55003582517315497</v>
      </c>
      <c r="J17" s="184">
        <v>600.00800000000004</v>
      </c>
      <c r="N17" s="174" t="s">
        <v>372</v>
      </c>
      <c r="O17" s="174">
        <v>25</v>
      </c>
      <c r="P17" s="174">
        <v>873.8</v>
      </c>
      <c r="Q17" s="174">
        <f t="shared" si="0"/>
        <v>54.525119999999994</v>
      </c>
    </row>
    <row r="18" spans="3:17" s="174" customFormat="1" ht="17">
      <c r="C18" s="174">
        <v>53</v>
      </c>
      <c r="D18" s="174" t="s">
        <v>376</v>
      </c>
      <c r="E18" s="174" t="s">
        <v>251</v>
      </c>
      <c r="F18" s="181">
        <v>51.17</v>
      </c>
      <c r="G18" s="183">
        <v>0.57009792213995703</v>
      </c>
      <c r="H18" s="186">
        <v>260</v>
      </c>
      <c r="I18" s="181">
        <v>0.62001433006926199</v>
      </c>
      <c r="J18" s="184">
        <v>260.00599999999997</v>
      </c>
      <c r="N18" s="174" t="s">
        <v>402</v>
      </c>
      <c r="O18" s="174">
        <v>15</v>
      </c>
      <c r="P18" s="174">
        <v>1230</v>
      </c>
      <c r="Q18" s="174">
        <f t="shared" si="0"/>
        <v>76.751999999999995</v>
      </c>
    </row>
    <row r="19" spans="3:17" s="174" customFormat="1" ht="17">
      <c r="C19" s="174">
        <v>54</v>
      </c>
      <c r="D19" s="174" t="s">
        <v>377</v>
      </c>
      <c r="E19" s="174" t="s">
        <v>251</v>
      </c>
      <c r="F19" s="181">
        <v>49.35</v>
      </c>
      <c r="G19" s="183">
        <v>0</v>
      </c>
      <c r="H19" s="186">
        <v>0</v>
      </c>
      <c r="I19" s="181">
        <v>0</v>
      </c>
      <c r="J19" s="184">
        <v>32</v>
      </c>
      <c r="N19" s="174" t="s">
        <v>403</v>
      </c>
      <c r="O19" s="174">
        <v>15</v>
      </c>
      <c r="P19" s="174">
        <v>1230</v>
      </c>
      <c r="Q19" s="174">
        <f t="shared" si="0"/>
        <v>76.751999999999995</v>
      </c>
    </row>
    <row r="20" spans="3:17" s="174" customFormat="1" ht="17">
      <c r="D20" s="174" t="s">
        <v>133</v>
      </c>
      <c r="N20" s="174" t="s">
        <v>373</v>
      </c>
      <c r="O20" s="174">
        <v>25</v>
      </c>
      <c r="P20" s="174">
        <v>3120</v>
      </c>
      <c r="Q20" s="174">
        <f t="shared" si="0"/>
        <v>194.68799999999999</v>
      </c>
    </row>
    <row r="21" spans="3:17" ht="17">
      <c r="N21" s="174" t="s">
        <v>404</v>
      </c>
      <c r="O21" s="174">
        <v>20</v>
      </c>
      <c r="P21" s="174">
        <v>959</v>
      </c>
      <c r="Q21" s="174">
        <f t="shared" si="0"/>
        <v>59.8416</v>
      </c>
    </row>
    <row r="22" spans="3:17" ht="17">
      <c r="N22" s="174" t="s">
        <v>405</v>
      </c>
      <c r="O22" s="174">
        <v>25</v>
      </c>
      <c r="P22" s="174">
        <v>599</v>
      </c>
      <c r="Q22" s="174">
        <f t="shared" si="0"/>
        <v>37.377600000000001</v>
      </c>
    </row>
    <row r="23" spans="3:17" ht="17">
      <c r="N23" s="174" t="s">
        <v>406</v>
      </c>
      <c r="O23" s="174">
        <v>20</v>
      </c>
      <c r="P23" s="174">
        <v>880</v>
      </c>
      <c r="Q23" s="174">
        <f t="shared" si="0"/>
        <v>54.911999999999999</v>
      </c>
    </row>
    <row r="24" spans="3:17" ht="17">
      <c r="N24" s="174" t="s">
        <v>407</v>
      </c>
      <c r="O24" s="174">
        <v>20</v>
      </c>
      <c r="P24" s="174">
        <v>810</v>
      </c>
      <c r="Q24" s="174">
        <f t="shared" si="0"/>
        <v>50.543999999999997</v>
      </c>
    </row>
    <row r="25" spans="3:17" ht="17">
      <c r="N25" s="174" t="s">
        <v>408</v>
      </c>
      <c r="O25" s="174">
        <v>20</v>
      </c>
      <c r="P25" s="174">
        <v>886</v>
      </c>
      <c r="Q25" s="174">
        <f t="shared" si="0"/>
        <v>55.2864</v>
      </c>
    </row>
    <row r="26" spans="3:17" ht="17">
      <c r="N26" s="174" t="s">
        <v>409</v>
      </c>
      <c r="O26" s="174">
        <v>25</v>
      </c>
      <c r="P26" s="174">
        <v>921</v>
      </c>
      <c r="Q26" s="174">
        <f t="shared" si="0"/>
        <v>57.470399999999998</v>
      </c>
    </row>
    <row r="27" spans="3:17" ht="17">
      <c r="N27" s="174" t="s">
        <v>410</v>
      </c>
      <c r="O27" s="174">
        <v>15</v>
      </c>
      <c r="P27" s="174">
        <v>956</v>
      </c>
      <c r="Q27" s="174">
        <f t="shared" si="0"/>
        <v>59.654399999999995</v>
      </c>
    </row>
    <row r="28" spans="3:17" ht="17">
      <c r="N28" s="174" t="s">
        <v>411</v>
      </c>
      <c r="O28" s="174">
        <v>25</v>
      </c>
      <c r="P28" s="174">
        <v>1261</v>
      </c>
      <c r="Q28" s="174">
        <f t="shared" si="0"/>
        <v>78.686399999999992</v>
      </c>
    </row>
    <row r="29" spans="3:17" ht="34">
      <c r="N29" s="174" t="s">
        <v>374</v>
      </c>
      <c r="O29" s="174">
        <v>25</v>
      </c>
      <c r="P29" s="174">
        <v>1584</v>
      </c>
      <c r="Q29" s="174">
        <f t="shared" si="0"/>
        <v>98.8416</v>
      </c>
    </row>
    <row r="30" spans="3:17" ht="17">
      <c r="N30" s="174" t="s">
        <v>412</v>
      </c>
      <c r="O30" s="174">
        <v>25</v>
      </c>
      <c r="P30" s="174">
        <v>857</v>
      </c>
      <c r="Q30" s="174">
        <f t="shared" si="0"/>
        <v>53.476799999999997</v>
      </c>
    </row>
    <row r="31" spans="3:17" ht="17">
      <c r="N31" s="174" t="s">
        <v>413</v>
      </c>
      <c r="O31" s="174">
        <v>25</v>
      </c>
      <c r="P31" s="174">
        <v>956.1</v>
      </c>
      <c r="Q31" s="174">
        <f t="shared" si="0"/>
        <v>59.660640000000001</v>
      </c>
    </row>
    <row r="32" spans="3:17" ht="17">
      <c r="N32" s="174" t="s">
        <v>414</v>
      </c>
      <c r="O32" s="174">
        <v>25</v>
      </c>
      <c r="P32" s="174">
        <v>1560</v>
      </c>
      <c r="Q32" s="174">
        <f t="shared" si="0"/>
        <v>97.343999999999994</v>
      </c>
    </row>
    <row r="33" spans="14:17" ht="17">
      <c r="N33" s="174" t="s">
        <v>415</v>
      </c>
      <c r="O33" s="174">
        <v>20</v>
      </c>
      <c r="P33" s="174">
        <v>1106</v>
      </c>
      <c r="Q33" s="174">
        <f t="shared" si="0"/>
        <v>69.014399999999995</v>
      </c>
    </row>
    <row r="34" spans="14:17" ht="17">
      <c r="N34" s="174" t="s">
        <v>416</v>
      </c>
      <c r="O34" s="174">
        <v>20</v>
      </c>
      <c r="P34" s="174">
        <v>1489</v>
      </c>
      <c r="Q34" s="174">
        <f t="shared" si="0"/>
        <v>92.913600000000002</v>
      </c>
    </row>
    <row r="35" spans="14:17" ht="17">
      <c r="N35" s="174" t="s">
        <v>416</v>
      </c>
      <c r="O35" s="174">
        <v>25</v>
      </c>
      <c r="P35" s="174">
        <v>1465</v>
      </c>
      <c r="Q35" s="174">
        <f t="shared" si="0"/>
        <v>91.415999999999997</v>
      </c>
    </row>
    <row r="36" spans="14:17" ht="34">
      <c r="N36" s="174" t="s">
        <v>417</v>
      </c>
      <c r="O36" s="174">
        <v>15</v>
      </c>
      <c r="P36" s="174">
        <v>1220</v>
      </c>
      <c r="Q36" s="174">
        <f t="shared" si="0"/>
        <v>76.128</v>
      </c>
    </row>
    <row r="37" spans="14:17" ht="17">
      <c r="N37" s="174" t="s">
        <v>418</v>
      </c>
      <c r="O37" s="174">
        <v>15</v>
      </c>
      <c r="P37" s="174">
        <v>924</v>
      </c>
      <c r="Q37" s="174">
        <f t="shared" si="0"/>
        <v>57.657599999999995</v>
      </c>
    </row>
    <row r="38" spans="14:17" ht="17">
      <c r="N38" s="174" t="s">
        <v>419</v>
      </c>
      <c r="O38" s="174">
        <v>15</v>
      </c>
      <c r="P38" s="174">
        <v>926</v>
      </c>
      <c r="Q38" s="174">
        <f t="shared" si="0"/>
        <v>57.782399999999996</v>
      </c>
    </row>
    <row r="39" spans="14:17" ht="17">
      <c r="N39" s="174" t="s">
        <v>420</v>
      </c>
      <c r="O39" s="174">
        <v>25</v>
      </c>
      <c r="P39" s="174">
        <v>1024</v>
      </c>
      <c r="Q39" s="174">
        <f t="shared" si="0"/>
        <v>63.897599999999997</v>
      </c>
    </row>
    <row r="40" spans="14:17" ht="17">
      <c r="N40" s="174" t="s">
        <v>421</v>
      </c>
      <c r="O40" s="174">
        <v>15</v>
      </c>
      <c r="P40" s="174">
        <v>1067</v>
      </c>
      <c r="Q40" s="174">
        <f t="shared" si="0"/>
        <v>66.580799999999996</v>
      </c>
    </row>
    <row r="41" spans="14:17" ht="20">
      <c r="N41" s="174" t="s">
        <v>422</v>
      </c>
      <c r="O41" s="174" t="s">
        <v>423</v>
      </c>
      <c r="P41" s="174">
        <v>790</v>
      </c>
      <c r="Q41" s="174">
        <f t="shared" si="0"/>
        <v>49.295999999999999</v>
      </c>
    </row>
    <row r="42" spans="14:17" ht="20">
      <c r="N42" s="174" t="s">
        <v>424</v>
      </c>
      <c r="O42" s="174" t="s">
        <v>423</v>
      </c>
      <c r="P42" s="174">
        <v>825</v>
      </c>
      <c r="Q42" s="174">
        <f t="shared" si="0"/>
        <v>51.48</v>
      </c>
    </row>
    <row r="43" spans="14:17" ht="20">
      <c r="N43" s="174" t="s">
        <v>425</v>
      </c>
      <c r="O43" s="174" t="s">
        <v>423</v>
      </c>
      <c r="P43" s="174">
        <v>847</v>
      </c>
      <c r="Q43" s="174">
        <f t="shared" si="0"/>
        <v>52.852799999999995</v>
      </c>
    </row>
    <row r="44" spans="14:17" ht="20">
      <c r="N44" s="174" t="s">
        <v>426</v>
      </c>
      <c r="O44" s="174" t="s">
        <v>423</v>
      </c>
      <c r="P44" s="174">
        <v>862</v>
      </c>
      <c r="Q44" s="174">
        <f t="shared" si="0"/>
        <v>53.788799999999995</v>
      </c>
    </row>
    <row r="45" spans="14:17" ht="20">
      <c r="N45" s="174" t="s">
        <v>427</v>
      </c>
      <c r="O45" s="174" t="s">
        <v>423</v>
      </c>
      <c r="P45" s="174">
        <v>915</v>
      </c>
      <c r="Q45" s="174">
        <f t="shared" si="0"/>
        <v>57.095999999999997</v>
      </c>
    </row>
    <row r="46" spans="14:17" ht="20">
      <c r="N46" s="174" t="s">
        <v>428</v>
      </c>
      <c r="O46" s="174" t="s">
        <v>423</v>
      </c>
      <c r="P46" s="174">
        <v>973</v>
      </c>
      <c r="Q46" s="174">
        <f t="shared" si="0"/>
        <v>60.715199999999996</v>
      </c>
    </row>
    <row r="47" spans="14:17" ht="20">
      <c r="N47" s="174" t="s">
        <v>429</v>
      </c>
      <c r="O47" s="174" t="s">
        <v>423</v>
      </c>
      <c r="P47" s="174">
        <v>873</v>
      </c>
      <c r="Q47" s="174">
        <f t="shared" si="0"/>
        <v>54.475200000000001</v>
      </c>
    </row>
    <row r="48" spans="14:17" ht="17">
      <c r="N48" s="174" t="s">
        <v>430</v>
      </c>
      <c r="O48" s="174">
        <v>25</v>
      </c>
      <c r="P48" s="174">
        <v>860</v>
      </c>
      <c r="Q48" s="174">
        <f t="shared" si="0"/>
        <v>53.663999999999994</v>
      </c>
    </row>
    <row r="49" spans="14:17" ht="17">
      <c r="N49" s="174" t="s">
        <v>431</v>
      </c>
      <c r="O49" s="174">
        <v>20</v>
      </c>
      <c r="P49" s="174">
        <v>779</v>
      </c>
      <c r="Q49" s="174">
        <f t="shared" si="0"/>
        <v>48.6096</v>
      </c>
    </row>
    <row r="50" spans="14:17" ht="17">
      <c r="N50" s="174" t="s">
        <v>432</v>
      </c>
      <c r="O50" s="174">
        <v>20</v>
      </c>
      <c r="P50" s="174">
        <v>745</v>
      </c>
      <c r="Q50" s="174">
        <f t="shared" si="0"/>
        <v>46.488</v>
      </c>
    </row>
    <row r="51" spans="14:17" ht="17">
      <c r="N51" s="174" t="s">
        <v>433</v>
      </c>
      <c r="O51" s="174">
        <v>25</v>
      </c>
      <c r="P51" s="174">
        <v>726.3</v>
      </c>
      <c r="Q51" s="174">
        <f t="shared" si="0"/>
        <v>45.321119999999993</v>
      </c>
    </row>
    <row r="52" spans="14:17" ht="34">
      <c r="N52" s="174" t="s">
        <v>434</v>
      </c>
      <c r="O52" s="174">
        <v>15</v>
      </c>
      <c r="P52" s="174" t="s">
        <v>435</v>
      </c>
      <c r="Q52" s="174" t="s">
        <v>36</v>
      </c>
    </row>
    <row r="53" spans="14:17" ht="17">
      <c r="N53" s="174" t="s">
        <v>436</v>
      </c>
      <c r="O53" s="174">
        <v>20</v>
      </c>
      <c r="P53" s="174">
        <v>714</v>
      </c>
      <c r="Q53" s="174">
        <f t="shared" si="0"/>
        <v>44.553599999999996</v>
      </c>
    </row>
    <row r="54" spans="14:17" ht="17">
      <c r="N54" s="174" t="s">
        <v>437</v>
      </c>
      <c r="O54" s="174">
        <v>20</v>
      </c>
      <c r="P54" s="174">
        <v>1306</v>
      </c>
      <c r="Q54" s="174">
        <f t="shared" si="0"/>
        <v>81.494399999999999</v>
      </c>
    </row>
    <row r="55" spans="14:17" ht="17">
      <c r="N55" s="174" t="s">
        <v>438</v>
      </c>
      <c r="O55" s="174">
        <v>20</v>
      </c>
      <c r="P55" s="174">
        <v>1326</v>
      </c>
      <c r="Q55" s="174">
        <f t="shared" si="0"/>
        <v>82.742399999999989</v>
      </c>
    </row>
    <row r="56" spans="14:17" ht="17">
      <c r="N56" s="174" t="s">
        <v>439</v>
      </c>
      <c r="O56" s="174">
        <v>15</v>
      </c>
      <c r="P56" s="174">
        <v>1120</v>
      </c>
      <c r="Q56" s="174">
        <f t="shared" si="0"/>
        <v>69.887999999999991</v>
      </c>
    </row>
    <row r="57" spans="14:17" ht="17">
      <c r="N57" s="174" t="s">
        <v>438</v>
      </c>
      <c r="O57" s="174">
        <v>20</v>
      </c>
      <c r="P57" s="174">
        <v>1326</v>
      </c>
      <c r="Q57" s="174">
        <f t="shared" si="0"/>
        <v>82.742399999999989</v>
      </c>
    </row>
    <row r="58" spans="14:17" ht="34">
      <c r="N58" s="174" t="s">
        <v>440</v>
      </c>
      <c r="O58" s="174">
        <v>20</v>
      </c>
      <c r="P58" s="174">
        <v>942</v>
      </c>
      <c r="Q58" s="174">
        <f t="shared" si="0"/>
        <v>58.780799999999999</v>
      </c>
    </row>
    <row r="59" spans="14:17" ht="51">
      <c r="N59" s="174" t="s">
        <v>441</v>
      </c>
      <c r="O59" s="174">
        <v>20</v>
      </c>
      <c r="P59" s="174">
        <v>949</v>
      </c>
      <c r="Q59" s="174">
        <f t="shared" si="0"/>
        <v>59.217599999999997</v>
      </c>
    </row>
    <row r="60" spans="14:17" ht="17">
      <c r="N60" s="174" t="s">
        <v>442</v>
      </c>
      <c r="O60" s="174">
        <v>20</v>
      </c>
      <c r="P60" s="174">
        <v>1100</v>
      </c>
      <c r="Q60" s="174">
        <f t="shared" si="0"/>
        <v>68.64</v>
      </c>
    </row>
    <row r="61" spans="14:17" ht="17">
      <c r="N61" s="174" t="s">
        <v>443</v>
      </c>
      <c r="O61" s="174">
        <v>25</v>
      </c>
      <c r="P61" s="174">
        <v>754.6</v>
      </c>
      <c r="Q61" s="174">
        <f t="shared" si="0"/>
        <v>47.087040000000002</v>
      </c>
    </row>
    <row r="62" spans="14:17" ht="17">
      <c r="N62" s="174" t="s">
        <v>444</v>
      </c>
      <c r="O62" s="174">
        <v>-89</v>
      </c>
      <c r="P62" s="174">
        <v>570</v>
      </c>
      <c r="Q62" s="174">
        <f t="shared" si="0"/>
        <v>35.567999999999998</v>
      </c>
    </row>
    <row r="63" spans="14:17" ht="17">
      <c r="N63" s="174" t="s">
        <v>445</v>
      </c>
      <c r="O63" s="174">
        <v>25</v>
      </c>
      <c r="P63" s="174">
        <v>713.5</v>
      </c>
      <c r="Q63" s="174">
        <f t="shared" si="0"/>
        <v>44.522399999999998</v>
      </c>
    </row>
    <row r="64" spans="14:17" ht="17">
      <c r="N64" s="174" t="s">
        <v>446</v>
      </c>
      <c r="O64" s="174">
        <v>16</v>
      </c>
      <c r="P64" s="174">
        <v>681</v>
      </c>
      <c r="Q64" s="174">
        <f t="shared" si="0"/>
        <v>42.494399999999999</v>
      </c>
    </row>
    <row r="65" spans="14:17" ht="17">
      <c r="N65" s="174" t="s">
        <v>447</v>
      </c>
      <c r="O65" s="174">
        <v>20</v>
      </c>
      <c r="P65" s="174">
        <v>901</v>
      </c>
      <c r="Q65" s="174">
        <f t="shared" si="0"/>
        <v>56.2224</v>
      </c>
    </row>
    <row r="66" spans="14:17" ht="85">
      <c r="N66" s="174" t="s">
        <v>448</v>
      </c>
      <c r="O66" s="174">
        <v>20</v>
      </c>
      <c r="P66" s="174">
        <v>789</v>
      </c>
      <c r="Q66" s="174">
        <f t="shared" si="0"/>
        <v>49.233599999999996</v>
      </c>
    </row>
    <row r="67" spans="14:17" ht="17">
      <c r="N67" s="174" t="s">
        <v>449</v>
      </c>
      <c r="O67" s="174">
        <v>20</v>
      </c>
      <c r="P67" s="174">
        <v>713</v>
      </c>
      <c r="Q67" s="174">
        <f t="shared" si="0"/>
        <v>44.491199999999999</v>
      </c>
    </row>
    <row r="68" spans="14:17" ht="17">
      <c r="N68" s="174" t="s">
        <v>450</v>
      </c>
      <c r="O68" s="174">
        <v>20</v>
      </c>
      <c r="P68" s="174">
        <v>1253</v>
      </c>
      <c r="Q68" s="174">
        <f t="shared" si="0"/>
        <v>78.18719999999999</v>
      </c>
    </row>
    <row r="69" spans="14:17" ht="17">
      <c r="N69" s="174" t="s">
        <v>451</v>
      </c>
      <c r="O69" s="174">
        <v>25</v>
      </c>
      <c r="P69" s="174">
        <v>1097</v>
      </c>
      <c r="Q69" s="174">
        <f t="shared" si="0"/>
        <v>68.452799999999996</v>
      </c>
    </row>
    <row r="70" spans="14:17" ht="51">
      <c r="N70" s="174" t="s">
        <v>452</v>
      </c>
      <c r="O70" s="174">
        <v>25</v>
      </c>
      <c r="P70" s="174">
        <v>1476</v>
      </c>
      <c r="Q70" s="174">
        <f t="shared" si="0"/>
        <v>92.102399999999989</v>
      </c>
    </row>
    <row r="71" spans="14:17" ht="51">
      <c r="N71" s="174" t="s">
        <v>453</v>
      </c>
      <c r="O71" s="174">
        <v>25</v>
      </c>
      <c r="P71" s="174">
        <v>1311</v>
      </c>
      <c r="Q71" s="174">
        <f t="shared" si="0"/>
        <v>81.806399999999996</v>
      </c>
    </row>
    <row r="72" spans="14:17" ht="51">
      <c r="N72" s="174" t="s">
        <v>454</v>
      </c>
      <c r="O72" s="174">
        <v>25</v>
      </c>
      <c r="P72" s="174">
        <v>1194</v>
      </c>
      <c r="Q72" s="174">
        <f t="shared" ref="Q72:Q135" si="1">P72*$Q$4</f>
        <v>74.505600000000001</v>
      </c>
    </row>
    <row r="73" spans="14:17" ht="17">
      <c r="N73" s="174" t="s">
        <v>455</v>
      </c>
      <c r="O73" s="174">
        <v>45</v>
      </c>
      <c r="P73" s="174">
        <v>812</v>
      </c>
      <c r="Q73" s="174">
        <f t="shared" si="1"/>
        <v>50.668799999999997</v>
      </c>
    </row>
    <row r="74" spans="14:17" ht="34">
      <c r="N74" s="174" t="s">
        <v>456</v>
      </c>
      <c r="O74" s="174">
        <v>20</v>
      </c>
      <c r="P74" s="174">
        <v>1025</v>
      </c>
      <c r="Q74" s="174">
        <f t="shared" si="1"/>
        <v>63.959999999999994</v>
      </c>
    </row>
    <row r="75" spans="14:17" ht="34">
      <c r="N75" s="174" t="s">
        <v>457</v>
      </c>
      <c r="O75" s="174">
        <v>20</v>
      </c>
      <c r="P75" s="174">
        <v>1221</v>
      </c>
      <c r="Q75" s="174">
        <f t="shared" si="1"/>
        <v>76.190399999999997</v>
      </c>
    </row>
    <row r="76" spans="14:17" ht="20">
      <c r="N76" s="174" t="s">
        <v>458</v>
      </c>
      <c r="O76" s="174" t="s">
        <v>423</v>
      </c>
      <c r="P76" s="174">
        <v>890</v>
      </c>
      <c r="Q76" s="174">
        <f t="shared" si="1"/>
        <v>55.535999999999994</v>
      </c>
    </row>
    <row r="77" spans="14:17" ht="17">
      <c r="N77" s="174" t="s">
        <v>459</v>
      </c>
      <c r="O77" s="174">
        <v>25</v>
      </c>
      <c r="P77" s="174">
        <v>1416</v>
      </c>
      <c r="Q77" s="174">
        <f t="shared" si="1"/>
        <v>88.358399999999989</v>
      </c>
    </row>
    <row r="78" spans="14:17" ht="17">
      <c r="N78" s="174" t="s">
        <v>460</v>
      </c>
      <c r="O78" s="174">
        <v>25</v>
      </c>
      <c r="P78" s="174">
        <v>1155</v>
      </c>
      <c r="Q78" s="174">
        <f t="shared" si="1"/>
        <v>72.072000000000003</v>
      </c>
    </row>
    <row r="79" spans="14:17" ht="20">
      <c r="N79" s="174" t="s">
        <v>461</v>
      </c>
      <c r="O79" s="174" t="s">
        <v>423</v>
      </c>
      <c r="P79" s="174">
        <v>711</v>
      </c>
      <c r="Q79" s="174">
        <f t="shared" si="1"/>
        <v>44.366399999999999</v>
      </c>
    </row>
    <row r="80" spans="14:17" ht="20">
      <c r="N80" s="174" t="s">
        <v>462</v>
      </c>
      <c r="O80" s="174" t="s">
        <v>423</v>
      </c>
      <c r="P80" s="174">
        <v>737</v>
      </c>
      <c r="Q80" s="174">
        <f t="shared" si="1"/>
        <v>45.988799999999998</v>
      </c>
    </row>
    <row r="81" spans="14:17" ht="20">
      <c r="N81" s="174" t="s">
        <v>463</v>
      </c>
      <c r="O81" s="174" t="s">
        <v>423</v>
      </c>
      <c r="P81" s="174">
        <v>890</v>
      </c>
      <c r="Q81" s="174">
        <f t="shared" si="1"/>
        <v>55.535999999999994</v>
      </c>
    </row>
    <row r="82" spans="14:17" ht="34">
      <c r="N82" s="174" t="s">
        <v>464</v>
      </c>
      <c r="O82" s="174" t="s">
        <v>423</v>
      </c>
      <c r="P82" s="174" t="s">
        <v>465</v>
      </c>
      <c r="Q82" s="174" t="s">
        <v>36</v>
      </c>
    </row>
    <row r="83" spans="14:17" ht="17">
      <c r="N83" s="174" t="s">
        <v>466</v>
      </c>
      <c r="O83" s="174">
        <v>25</v>
      </c>
      <c r="P83" s="174">
        <v>1259</v>
      </c>
      <c r="Q83" s="174">
        <f t="shared" si="1"/>
        <v>78.561599999999999</v>
      </c>
    </row>
    <row r="84" spans="14:17" ht="17">
      <c r="N84" s="174" t="s">
        <v>467</v>
      </c>
      <c r="O84" s="174">
        <v>25</v>
      </c>
      <c r="P84" s="174">
        <v>1126</v>
      </c>
      <c r="Q84" s="174">
        <f t="shared" si="1"/>
        <v>70.2624</v>
      </c>
    </row>
    <row r="85" spans="14:17" ht="17">
      <c r="N85" s="174" t="s">
        <v>468</v>
      </c>
      <c r="O85" s="174">
        <v>20</v>
      </c>
      <c r="P85" s="174">
        <v>920</v>
      </c>
      <c r="Q85" s="174">
        <f t="shared" si="1"/>
        <v>57.407999999999994</v>
      </c>
    </row>
    <row r="86" spans="14:17" ht="17">
      <c r="N86" s="174" t="s">
        <v>469</v>
      </c>
      <c r="O86" s="174">
        <v>25</v>
      </c>
      <c r="P86" s="174">
        <v>679.5</v>
      </c>
      <c r="Q86" s="174">
        <f t="shared" si="1"/>
        <v>42.400799999999997</v>
      </c>
    </row>
    <row r="87" spans="14:17" ht="17">
      <c r="N87" s="174" t="s">
        <v>470</v>
      </c>
      <c r="O87" s="174">
        <v>25</v>
      </c>
      <c r="P87" s="174">
        <v>654.79999999999995</v>
      </c>
      <c r="Q87" s="174">
        <f t="shared" si="1"/>
        <v>40.859519999999996</v>
      </c>
    </row>
    <row r="88" spans="14:17" ht="17">
      <c r="N88" s="174" t="s">
        <v>471</v>
      </c>
      <c r="O88" s="174">
        <v>25</v>
      </c>
      <c r="P88" s="174">
        <v>811</v>
      </c>
      <c r="Q88" s="174">
        <f t="shared" si="1"/>
        <v>50.606400000000001</v>
      </c>
    </row>
    <row r="89" spans="14:17" ht="17">
      <c r="N89" s="174" t="s">
        <v>472</v>
      </c>
      <c r="O89" s="174">
        <v>25</v>
      </c>
      <c r="P89" s="174">
        <v>671</v>
      </c>
      <c r="Q89" s="174">
        <f t="shared" si="1"/>
        <v>41.870399999999997</v>
      </c>
    </row>
    <row r="90" spans="14:17" ht="17">
      <c r="N90" s="174" t="s">
        <v>473</v>
      </c>
      <c r="O90" s="174">
        <v>25</v>
      </c>
      <c r="P90" s="174">
        <v>795</v>
      </c>
      <c r="Q90" s="174">
        <f t="shared" si="1"/>
        <v>49.607999999999997</v>
      </c>
    </row>
    <row r="91" spans="14:17" ht="17">
      <c r="N91" s="174" t="s">
        <v>474</v>
      </c>
      <c r="O91" s="174">
        <v>25</v>
      </c>
      <c r="P91" s="174">
        <v>932</v>
      </c>
      <c r="Q91" s="174">
        <f t="shared" si="1"/>
        <v>58.156799999999997</v>
      </c>
    </row>
    <row r="92" spans="14:17" ht="17">
      <c r="N92" s="174" t="s">
        <v>475</v>
      </c>
      <c r="O92" s="174">
        <v>20</v>
      </c>
      <c r="P92" s="174">
        <v>802</v>
      </c>
      <c r="Q92" s="174">
        <f t="shared" si="1"/>
        <v>50.044799999999995</v>
      </c>
    </row>
    <row r="93" spans="14:17" ht="17">
      <c r="N93" s="174" t="s">
        <v>476</v>
      </c>
      <c r="O93" s="174">
        <v>20</v>
      </c>
      <c r="P93" s="174">
        <v>692</v>
      </c>
      <c r="Q93" s="174">
        <f t="shared" si="1"/>
        <v>43.180799999999998</v>
      </c>
    </row>
    <row r="94" spans="14:17" ht="17">
      <c r="N94" s="174" t="s">
        <v>477</v>
      </c>
      <c r="O94" s="174">
        <v>20</v>
      </c>
      <c r="P94" s="174">
        <v>785</v>
      </c>
      <c r="Q94" s="174">
        <f t="shared" si="1"/>
        <v>48.983999999999995</v>
      </c>
    </row>
    <row r="95" spans="14:17" ht="17">
      <c r="N95" s="174" t="s">
        <v>478</v>
      </c>
      <c r="O95" s="174">
        <v>20</v>
      </c>
      <c r="P95" s="174">
        <v>853</v>
      </c>
      <c r="Q95" s="174">
        <f t="shared" si="1"/>
        <v>53.227199999999996</v>
      </c>
    </row>
    <row r="96" spans="14:17" ht="20">
      <c r="N96" s="174" t="s">
        <v>376</v>
      </c>
      <c r="O96" s="174" t="s">
        <v>423</v>
      </c>
      <c r="P96" s="174">
        <v>820.1</v>
      </c>
      <c r="Q96" s="174">
        <f t="shared" si="1"/>
        <v>51.174239999999998</v>
      </c>
    </row>
    <row r="97" spans="14:17" ht="17">
      <c r="N97" s="174" t="s">
        <v>479</v>
      </c>
      <c r="O97" s="174">
        <v>25</v>
      </c>
      <c r="P97" s="174">
        <v>897</v>
      </c>
      <c r="Q97" s="174">
        <f t="shared" si="1"/>
        <v>55.972799999999999</v>
      </c>
    </row>
    <row r="98" spans="14:17" ht="17">
      <c r="N98" s="174" t="s">
        <v>480</v>
      </c>
      <c r="O98" s="174">
        <v>25</v>
      </c>
      <c r="P98" s="174">
        <v>929.1</v>
      </c>
      <c r="Q98" s="174">
        <f t="shared" si="1"/>
        <v>57.975839999999998</v>
      </c>
    </row>
    <row r="99" spans="14:17" ht="17">
      <c r="N99" s="174" t="s">
        <v>481</v>
      </c>
      <c r="O99" s="174">
        <v>20</v>
      </c>
      <c r="P99" s="174">
        <v>910</v>
      </c>
      <c r="Q99" s="174">
        <f t="shared" si="1"/>
        <v>56.783999999999999</v>
      </c>
    </row>
    <row r="100" spans="14:17" ht="17">
      <c r="N100" s="174" t="s">
        <v>482</v>
      </c>
      <c r="O100" s="174"/>
      <c r="P100" s="174">
        <v>13590</v>
      </c>
      <c r="Q100" s="174">
        <f t="shared" si="1"/>
        <v>848.01599999999996</v>
      </c>
    </row>
    <row r="101" spans="14:17" ht="17">
      <c r="N101" s="174" t="s">
        <v>483</v>
      </c>
      <c r="O101" s="174">
        <v>-164</v>
      </c>
      <c r="P101" s="174">
        <v>465</v>
      </c>
      <c r="Q101" s="174">
        <f t="shared" si="1"/>
        <v>29.015999999999998</v>
      </c>
    </row>
    <row r="102" spans="14:17" ht="17">
      <c r="N102" s="174" t="s">
        <v>377</v>
      </c>
      <c r="O102" s="174">
        <v>20</v>
      </c>
      <c r="P102" s="174">
        <v>791</v>
      </c>
      <c r="Q102" s="174">
        <f t="shared" si="1"/>
        <v>49.358399999999996</v>
      </c>
    </row>
    <row r="103" spans="14:17" ht="34">
      <c r="N103" s="174" t="s">
        <v>484</v>
      </c>
      <c r="O103" s="174">
        <v>20</v>
      </c>
      <c r="P103" s="174">
        <v>888</v>
      </c>
      <c r="Q103" s="174">
        <f t="shared" si="1"/>
        <v>55.411200000000001</v>
      </c>
    </row>
    <row r="104" spans="14:17" ht="34">
      <c r="N104" s="174" t="s">
        <v>485</v>
      </c>
      <c r="O104" s="174">
        <v>20</v>
      </c>
      <c r="P104" s="174">
        <v>801</v>
      </c>
      <c r="Q104" s="174">
        <f t="shared" si="1"/>
        <v>49.982399999999998</v>
      </c>
    </row>
    <row r="105" spans="14:17" ht="34">
      <c r="N105" s="174" t="s">
        <v>486</v>
      </c>
      <c r="O105" s="174">
        <v>20</v>
      </c>
      <c r="P105" s="174">
        <v>808</v>
      </c>
      <c r="Q105" s="174">
        <f t="shared" si="1"/>
        <v>50.419199999999996</v>
      </c>
    </row>
    <row r="106" spans="14:17" ht="34">
      <c r="N106" s="174" t="s">
        <v>487</v>
      </c>
      <c r="O106" s="174">
        <v>20</v>
      </c>
      <c r="P106" s="174">
        <v>741</v>
      </c>
      <c r="Q106" s="174">
        <f t="shared" si="1"/>
        <v>46.238399999999999</v>
      </c>
    </row>
    <row r="107" spans="14:17" ht="34">
      <c r="N107" s="174" t="s">
        <v>488</v>
      </c>
      <c r="O107" s="174">
        <v>20</v>
      </c>
      <c r="P107" s="174">
        <v>1030</v>
      </c>
      <c r="Q107" s="174">
        <f t="shared" si="1"/>
        <v>64.271999999999991</v>
      </c>
    </row>
    <row r="108" spans="14:17" ht="17">
      <c r="N108" s="174" t="s">
        <v>489</v>
      </c>
      <c r="O108" s="174">
        <v>20</v>
      </c>
      <c r="P108" s="174">
        <v>805</v>
      </c>
      <c r="Q108" s="174">
        <f t="shared" si="1"/>
        <v>50.231999999999999</v>
      </c>
    </row>
    <row r="109" spans="14:17" ht="34">
      <c r="N109" s="174" t="s">
        <v>490</v>
      </c>
      <c r="O109" s="174">
        <v>15</v>
      </c>
      <c r="P109" s="174" t="s">
        <v>491</v>
      </c>
      <c r="Q109" s="174" t="s">
        <v>36</v>
      </c>
    </row>
    <row r="110" spans="14:17" ht="17">
      <c r="N110" s="174" t="s">
        <v>492</v>
      </c>
      <c r="O110" s="174">
        <v>15</v>
      </c>
      <c r="P110" s="174">
        <v>665</v>
      </c>
      <c r="Q110" s="174">
        <f t="shared" si="1"/>
        <v>41.495999999999995</v>
      </c>
    </row>
    <row r="111" spans="14:17" ht="17">
      <c r="N111" s="174" t="s">
        <v>493</v>
      </c>
      <c r="O111" s="174">
        <v>25</v>
      </c>
      <c r="P111" s="174">
        <v>960</v>
      </c>
      <c r="Q111" s="174">
        <f t="shared" si="1"/>
        <v>59.903999999999996</v>
      </c>
    </row>
    <row r="112" spans="14:17" ht="17">
      <c r="N112" s="174" t="s">
        <v>494</v>
      </c>
      <c r="O112" s="174">
        <v>25</v>
      </c>
      <c r="P112" s="174">
        <v>820</v>
      </c>
      <c r="Q112" s="174">
        <f t="shared" si="1"/>
        <v>51.167999999999999</v>
      </c>
    </row>
    <row r="113" spans="14:17" ht="17">
      <c r="N113" s="174" t="s">
        <v>495</v>
      </c>
      <c r="O113" s="174">
        <v>0</v>
      </c>
      <c r="P113" s="174">
        <v>1560</v>
      </c>
      <c r="Q113" s="174">
        <f t="shared" si="1"/>
        <v>97.343999999999994</v>
      </c>
    </row>
    <row r="114" spans="14:17" ht="17">
      <c r="N114" s="174" t="s">
        <v>496</v>
      </c>
      <c r="O114" s="174">
        <v>25</v>
      </c>
      <c r="P114" s="174">
        <v>798</v>
      </c>
      <c r="Q114" s="174">
        <f t="shared" si="1"/>
        <v>49.795200000000001</v>
      </c>
    </row>
    <row r="115" spans="14:17" ht="17">
      <c r="N115" s="174" t="s">
        <v>497</v>
      </c>
      <c r="O115" s="174">
        <v>15</v>
      </c>
      <c r="P115" s="174">
        <v>698.6</v>
      </c>
      <c r="Q115" s="174">
        <f t="shared" si="1"/>
        <v>43.592640000000003</v>
      </c>
    </row>
    <row r="116" spans="14:17" ht="17">
      <c r="N116" s="174" t="s">
        <v>498</v>
      </c>
      <c r="O116" s="174">
        <v>20</v>
      </c>
      <c r="P116" s="174">
        <v>940</v>
      </c>
      <c r="Q116" s="174">
        <f t="shared" si="1"/>
        <v>58.655999999999999</v>
      </c>
    </row>
    <row r="117" spans="14:17" ht="17">
      <c r="N117" s="174" t="s">
        <v>499</v>
      </c>
      <c r="O117" s="174">
        <v>20</v>
      </c>
      <c r="P117" s="174">
        <v>870</v>
      </c>
      <c r="Q117" s="174">
        <f t="shared" si="1"/>
        <v>54.287999999999997</v>
      </c>
    </row>
    <row r="118" spans="14:17" ht="17">
      <c r="N118" s="174" t="s">
        <v>500</v>
      </c>
      <c r="O118" s="174">
        <v>20</v>
      </c>
      <c r="P118" s="174">
        <v>900</v>
      </c>
      <c r="Q118" s="174">
        <f t="shared" si="1"/>
        <v>56.16</v>
      </c>
    </row>
    <row r="119" spans="14:17" ht="17">
      <c r="N119" s="174" t="s">
        <v>501</v>
      </c>
      <c r="O119" s="174">
        <v>20</v>
      </c>
      <c r="P119" s="174" t="s">
        <v>502</v>
      </c>
      <c r="Q119" s="174" t="s">
        <v>36</v>
      </c>
    </row>
    <row r="120" spans="14:17" ht="17">
      <c r="N120" s="174" t="s">
        <v>503</v>
      </c>
      <c r="O120" s="174">
        <v>-183</v>
      </c>
      <c r="P120" s="174">
        <v>1140</v>
      </c>
      <c r="Q120" s="174">
        <f t="shared" si="1"/>
        <v>71.135999999999996</v>
      </c>
    </row>
    <row r="121" spans="14:17" ht="17">
      <c r="N121" s="174" t="s">
        <v>504</v>
      </c>
      <c r="O121" s="174"/>
      <c r="P121" s="174">
        <v>800</v>
      </c>
      <c r="Q121" s="174">
        <f t="shared" si="1"/>
        <v>49.919999999999995</v>
      </c>
    </row>
    <row r="122" spans="14:17" ht="17">
      <c r="N122" s="174" t="s">
        <v>505</v>
      </c>
      <c r="O122" s="174">
        <v>25</v>
      </c>
      <c r="P122" s="174">
        <v>851</v>
      </c>
      <c r="Q122" s="174">
        <f t="shared" si="1"/>
        <v>53.102399999999996</v>
      </c>
    </row>
    <row r="123" spans="14:17" ht="17">
      <c r="N123" s="174" t="s">
        <v>506</v>
      </c>
      <c r="O123" s="174">
        <v>20</v>
      </c>
      <c r="P123" s="174">
        <v>626</v>
      </c>
      <c r="Q123" s="174">
        <f t="shared" si="1"/>
        <v>39.062399999999997</v>
      </c>
    </row>
    <row r="124" spans="14:17" ht="17">
      <c r="N124" s="174" t="s">
        <v>506</v>
      </c>
      <c r="O124" s="174">
        <v>25</v>
      </c>
      <c r="P124" s="174">
        <v>625</v>
      </c>
      <c r="Q124" s="174">
        <f t="shared" si="1"/>
        <v>39</v>
      </c>
    </row>
    <row r="125" spans="14:17" ht="17">
      <c r="N125" s="174" t="s">
        <v>507</v>
      </c>
      <c r="O125" s="174">
        <v>20</v>
      </c>
      <c r="P125" s="174">
        <v>1620</v>
      </c>
      <c r="Q125" s="174">
        <f t="shared" si="1"/>
        <v>101.08799999999999</v>
      </c>
    </row>
    <row r="126" spans="14:17" ht="17">
      <c r="N126" s="174" t="s">
        <v>508</v>
      </c>
      <c r="O126" s="174">
        <v>20</v>
      </c>
      <c r="P126" s="174">
        <v>640</v>
      </c>
      <c r="Q126" s="174">
        <f t="shared" si="1"/>
        <v>39.936</v>
      </c>
    </row>
    <row r="127" spans="14:17" ht="20">
      <c r="N127" s="174" t="s">
        <v>509</v>
      </c>
      <c r="O127" s="174" t="s">
        <v>423</v>
      </c>
      <c r="P127" s="174">
        <v>711</v>
      </c>
      <c r="Q127" s="174">
        <f t="shared" si="1"/>
        <v>44.366399999999999</v>
      </c>
    </row>
    <row r="128" spans="14:17" ht="20">
      <c r="N128" s="174" t="s">
        <v>510</v>
      </c>
      <c r="O128" s="174" t="s">
        <v>423</v>
      </c>
      <c r="P128" s="174">
        <v>737</v>
      </c>
      <c r="Q128" s="174">
        <f t="shared" si="1"/>
        <v>45.988799999999998</v>
      </c>
    </row>
    <row r="129" spans="14:17" ht="17">
      <c r="N129" s="174" t="s">
        <v>511</v>
      </c>
      <c r="O129" s="174">
        <v>25</v>
      </c>
      <c r="P129" s="174">
        <v>1072</v>
      </c>
      <c r="Q129" s="174">
        <f t="shared" si="1"/>
        <v>66.892799999999994</v>
      </c>
    </row>
    <row r="130" spans="14:17" ht="17">
      <c r="N130" s="174" t="s">
        <v>512</v>
      </c>
      <c r="O130" s="174">
        <v>0</v>
      </c>
      <c r="P130" s="174">
        <v>1378</v>
      </c>
      <c r="Q130" s="174">
        <f t="shared" si="1"/>
        <v>85.987200000000001</v>
      </c>
    </row>
    <row r="131" spans="14:17" ht="17">
      <c r="N131" s="174" t="s">
        <v>513</v>
      </c>
      <c r="O131" s="174">
        <v>25</v>
      </c>
      <c r="P131" s="174">
        <v>823</v>
      </c>
      <c r="Q131" s="174">
        <f t="shared" si="1"/>
        <v>51.355199999999996</v>
      </c>
    </row>
    <row r="132" spans="14:17" ht="17">
      <c r="N132" s="174" t="s">
        <v>514</v>
      </c>
      <c r="O132" s="174">
        <v>25</v>
      </c>
      <c r="P132" s="174">
        <v>857</v>
      </c>
      <c r="Q132" s="174">
        <f t="shared" si="1"/>
        <v>53.476799999999997</v>
      </c>
    </row>
    <row r="133" spans="14:17" ht="17">
      <c r="N133" s="174" t="s">
        <v>515</v>
      </c>
      <c r="O133" s="174">
        <v>-40</v>
      </c>
      <c r="P133" s="174">
        <v>493.5</v>
      </c>
      <c r="Q133" s="174">
        <f t="shared" si="1"/>
        <v>30.7944</v>
      </c>
    </row>
    <row r="134" spans="14:17" ht="17">
      <c r="N134" s="174" t="s">
        <v>516</v>
      </c>
      <c r="O134" s="174">
        <v>25</v>
      </c>
      <c r="P134" s="174">
        <v>494</v>
      </c>
      <c r="Q134" s="174">
        <f t="shared" si="1"/>
        <v>30.825599999999998</v>
      </c>
    </row>
    <row r="135" spans="14:17" ht="17">
      <c r="N135" s="174" t="s">
        <v>517</v>
      </c>
      <c r="O135" s="174">
        <v>25</v>
      </c>
      <c r="P135" s="174">
        <v>804</v>
      </c>
      <c r="Q135" s="174">
        <f t="shared" si="1"/>
        <v>50.169599999999996</v>
      </c>
    </row>
    <row r="136" spans="14:17" ht="17">
      <c r="N136" s="174" t="s">
        <v>518</v>
      </c>
      <c r="O136" s="174">
        <v>20</v>
      </c>
      <c r="P136" s="174">
        <v>1201</v>
      </c>
      <c r="Q136" s="174">
        <f t="shared" ref="Q136:Q168" si="2">P136*$Q$4</f>
        <v>74.942399999999992</v>
      </c>
    </row>
    <row r="137" spans="14:17" ht="17">
      <c r="N137" s="174" t="s">
        <v>519</v>
      </c>
      <c r="O137" s="174">
        <v>25</v>
      </c>
      <c r="P137" s="174">
        <v>514.4</v>
      </c>
      <c r="Q137" s="174">
        <f t="shared" si="2"/>
        <v>32.098559999999999</v>
      </c>
    </row>
    <row r="138" spans="14:17" ht="17">
      <c r="N138" s="188" t="s">
        <v>520</v>
      </c>
      <c r="O138" s="174">
        <v>25</v>
      </c>
      <c r="P138" s="174">
        <v>965.3</v>
      </c>
      <c r="Q138" s="174">
        <f t="shared" si="2"/>
        <v>60.234719999999996</v>
      </c>
    </row>
    <row r="139" spans="14:17" ht="17">
      <c r="N139" s="174" t="s">
        <v>521</v>
      </c>
      <c r="O139" s="174">
        <v>25</v>
      </c>
      <c r="P139" s="174">
        <v>979</v>
      </c>
      <c r="Q139" s="174">
        <f t="shared" si="2"/>
        <v>61.089599999999997</v>
      </c>
    </row>
    <row r="140" spans="14:17" ht="17">
      <c r="N140" s="174" t="s">
        <v>522</v>
      </c>
      <c r="O140" s="174">
        <v>25</v>
      </c>
      <c r="P140" s="174">
        <v>966</v>
      </c>
      <c r="Q140" s="174">
        <f t="shared" si="2"/>
        <v>60.278399999999998</v>
      </c>
    </row>
    <row r="141" spans="14:17" ht="17">
      <c r="N141" s="174" t="s">
        <v>523</v>
      </c>
      <c r="O141" s="174">
        <v>20</v>
      </c>
      <c r="P141" s="174">
        <v>920</v>
      </c>
      <c r="Q141" s="174">
        <f t="shared" si="2"/>
        <v>57.407999999999994</v>
      </c>
    </row>
    <row r="142" spans="14:17" ht="17">
      <c r="N142" s="174" t="s">
        <v>524</v>
      </c>
      <c r="O142" s="174">
        <v>25</v>
      </c>
      <c r="P142" s="174">
        <v>1269</v>
      </c>
      <c r="Q142" s="174">
        <f t="shared" si="2"/>
        <v>79.185599999999994</v>
      </c>
    </row>
    <row r="143" spans="14:17" ht="17">
      <c r="N143" s="174" t="s">
        <v>525</v>
      </c>
      <c r="O143" s="174">
        <v>15</v>
      </c>
      <c r="P143" s="174">
        <v>980</v>
      </c>
      <c r="Q143" s="174">
        <f t="shared" si="2"/>
        <v>61.151999999999994</v>
      </c>
    </row>
    <row r="144" spans="14:17" ht="17">
      <c r="N144" s="174" t="s">
        <v>526</v>
      </c>
      <c r="O144" s="174">
        <v>25</v>
      </c>
      <c r="P144" s="174">
        <v>1025</v>
      </c>
      <c r="Q144" s="174">
        <f t="shared" si="2"/>
        <v>63.959999999999994</v>
      </c>
    </row>
    <row r="145" spans="14:17" ht="17">
      <c r="N145" s="174" t="s">
        <v>527</v>
      </c>
      <c r="O145" s="174">
        <v>25</v>
      </c>
      <c r="P145" s="174">
        <v>718</v>
      </c>
      <c r="Q145" s="174">
        <f t="shared" si="2"/>
        <v>44.803199999999997</v>
      </c>
    </row>
    <row r="146" spans="14:17" ht="17">
      <c r="N146" s="174" t="s">
        <v>528</v>
      </c>
      <c r="O146" s="174">
        <v>25</v>
      </c>
      <c r="P146" s="174" t="s">
        <v>529</v>
      </c>
      <c r="Q146" s="174" t="s">
        <v>36</v>
      </c>
    </row>
    <row r="147" spans="14:17" ht="34">
      <c r="N147" s="174" t="s">
        <v>530</v>
      </c>
      <c r="O147" s="174">
        <v>15</v>
      </c>
      <c r="P147" s="174">
        <v>1250</v>
      </c>
      <c r="Q147" s="174">
        <f t="shared" si="2"/>
        <v>78</v>
      </c>
    </row>
    <row r="148" spans="14:17" ht="17">
      <c r="N148" s="174" t="s">
        <v>531</v>
      </c>
      <c r="O148" s="174">
        <v>25</v>
      </c>
      <c r="P148" s="174">
        <v>895</v>
      </c>
      <c r="Q148" s="174">
        <f t="shared" si="2"/>
        <v>55.847999999999999</v>
      </c>
    </row>
    <row r="149" spans="14:17" ht="17">
      <c r="N149" s="174" t="s">
        <v>532</v>
      </c>
      <c r="O149" s="174">
        <v>15</v>
      </c>
      <c r="P149" s="174" t="s">
        <v>533</v>
      </c>
      <c r="Q149" s="174" t="s">
        <v>36</v>
      </c>
    </row>
    <row r="150" spans="14:17" ht="17">
      <c r="N150" s="174" t="s">
        <v>534</v>
      </c>
      <c r="O150" s="174">
        <v>25</v>
      </c>
      <c r="P150" s="174">
        <v>891</v>
      </c>
      <c r="Q150" s="174">
        <f t="shared" si="2"/>
        <v>55.598399999999998</v>
      </c>
    </row>
    <row r="151" spans="14:17" ht="34">
      <c r="N151" s="174" t="s">
        <v>535</v>
      </c>
      <c r="O151" s="174">
        <v>20</v>
      </c>
      <c r="P151" s="174">
        <v>1839</v>
      </c>
      <c r="Q151" s="174">
        <f t="shared" si="2"/>
        <v>114.75359999999999</v>
      </c>
    </row>
    <row r="152" spans="14:17" ht="17">
      <c r="N152" s="174" t="s">
        <v>536</v>
      </c>
      <c r="O152" s="174">
        <v>-20</v>
      </c>
      <c r="P152" s="174">
        <v>1490</v>
      </c>
      <c r="Q152" s="174">
        <f t="shared" si="2"/>
        <v>92.975999999999999</v>
      </c>
    </row>
    <row r="153" spans="14:17" ht="34">
      <c r="N153" s="188" t="s">
        <v>537</v>
      </c>
      <c r="O153" s="174">
        <v>15</v>
      </c>
      <c r="P153" s="174">
        <v>1338</v>
      </c>
      <c r="Q153" s="174">
        <f t="shared" si="2"/>
        <v>83.491199999999992</v>
      </c>
    </row>
    <row r="154" spans="14:17" ht="17">
      <c r="N154" s="174" t="s">
        <v>538</v>
      </c>
      <c r="O154" s="174">
        <v>20</v>
      </c>
      <c r="P154" s="174">
        <v>920</v>
      </c>
      <c r="Q154" s="174">
        <f t="shared" si="2"/>
        <v>57.407999999999994</v>
      </c>
    </row>
    <row r="155" spans="14:17" ht="17">
      <c r="N155" s="174" t="s">
        <v>539</v>
      </c>
      <c r="O155" s="174">
        <v>25</v>
      </c>
      <c r="P155" s="174">
        <v>903</v>
      </c>
      <c r="Q155" s="174">
        <f t="shared" si="2"/>
        <v>56.347200000000001</v>
      </c>
    </row>
    <row r="156" spans="14:17" ht="17">
      <c r="N156" s="174" t="s">
        <v>540</v>
      </c>
      <c r="O156" s="174">
        <v>25</v>
      </c>
      <c r="P156" s="174">
        <v>847</v>
      </c>
      <c r="Q156" s="174">
        <f t="shared" si="2"/>
        <v>52.852799999999995</v>
      </c>
    </row>
    <row r="157" spans="14:17" ht="17">
      <c r="N157" s="174" t="s">
        <v>541</v>
      </c>
      <c r="O157" s="174">
        <v>20</v>
      </c>
      <c r="P157" s="174">
        <v>888</v>
      </c>
      <c r="Q157" s="174">
        <f t="shared" si="2"/>
        <v>55.411200000000001</v>
      </c>
    </row>
    <row r="158" spans="14:17" ht="17">
      <c r="N158" s="174" t="s">
        <v>542</v>
      </c>
      <c r="O158" s="174">
        <v>20</v>
      </c>
      <c r="P158" s="174">
        <v>867</v>
      </c>
      <c r="Q158" s="174">
        <f t="shared" si="2"/>
        <v>54.1008</v>
      </c>
    </row>
    <row r="159" spans="14:17" ht="17">
      <c r="N159" s="174" t="s">
        <v>543</v>
      </c>
      <c r="O159" s="174">
        <v>20</v>
      </c>
      <c r="P159" s="174">
        <v>1470</v>
      </c>
      <c r="Q159" s="174">
        <f t="shared" si="2"/>
        <v>91.727999999999994</v>
      </c>
    </row>
    <row r="160" spans="14:17" ht="17">
      <c r="N160" s="174" t="s">
        <v>544</v>
      </c>
      <c r="O160" s="174">
        <v>20</v>
      </c>
      <c r="P160" s="174">
        <v>728</v>
      </c>
      <c r="Q160" s="174">
        <f t="shared" si="2"/>
        <v>45.427199999999999</v>
      </c>
    </row>
    <row r="161" spans="14:17" ht="17">
      <c r="N161" s="174" t="s">
        <v>545</v>
      </c>
      <c r="O161" s="174">
        <v>20</v>
      </c>
      <c r="P161" s="174">
        <v>1489</v>
      </c>
      <c r="Q161" s="174">
        <f t="shared" si="2"/>
        <v>92.913600000000002</v>
      </c>
    </row>
    <row r="162" spans="14:17" ht="17">
      <c r="N162" s="174" t="s">
        <v>546</v>
      </c>
      <c r="O162" s="174">
        <v>25</v>
      </c>
      <c r="P162" s="174">
        <v>868.2</v>
      </c>
      <c r="Q162" s="174">
        <f t="shared" si="2"/>
        <v>54.17568</v>
      </c>
    </row>
    <row r="163" spans="14:17" ht="17">
      <c r="N163" s="174" t="s">
        <v>547</v>
      </c>
      <c r="O163" s="174">
        <v>11.6</v>
      </c>
      <c r="P163" s="174">
        <v>1105</v>
      </c>
      <c r="Q163" s="174">
        <f t="shared" si="2"/>
        <v>68.951999999999998</v>
      </c>
    </row>
    <row r="164" spans="14:17" ht="17">
      <c r="N164" s="188" t="s">
        <v>548</v>
      </c>
      <c r="O164" s="174">
        <v>4</v>
      </c>
      <c r="P164" s="174">
        <v>1000</v>
      </c>
      <c r="Q164" s="174">
        <f t="shared" si="2"/>
        <v>62.4</v>
      </c>
    </row>
    <row r="165" spans="14:17" ht="20">
      <c r="N165" s="174" t="s">
        <v>549</v>
      </c>
      <c r="O165" s="174" t="s">
        <v>550</v>
      </c>
      <c r="P165" s="174">
        <v>1022</v>
      </c>
      <c r="Q165" s="174">
        <f t="shared" si="2"/>
        <v>63.772799999999997</v>
      </c>
    </row>
    <row r="166" spans="14:17" ht="17">
      <c r="N166" s="174" t="s">
        <v>551</v>
      </c>
      <c r="O166" s="174">
        <v>15</v>
      </c>
      <c r="P166" s="174">
        <v>925</v>
      </c>
      <c r="Q166" s="174">
        <f t="shared" si="2"/>
        <v>57.72</v>
      </c>
    </row>
    <row r="167" spans="14:17" ht="17">
      <c r="N167" s="174" t="s">
        <v>552</v>
      </c>
      <c r="O167" s="174">
        <v>20</v>
      </c>
      <c r="P167" s="174">
        <v>880</v>
      </c>
      <c r="Q167" s="174">
        <f t="shared" si="2"/>
        <v>54.911999999999999</v>
      </c>
    </row>
    <row r="168" spans="14:17">
      <c r="Q168" s="174">
        <f t="shared" si="2"/>
        <v>0</v>
      </c>
    </row>
  </sheetData>
  <mergeCells count="1">
    <mergeCell ref="N4:N6"/>
  </mergeCells>
  <hyperlinks>
    <hyperlink ref="O4" r:id="rId1" display="http://www.engineeringtoolbox.com/temperature-d_291.html" xr:uid="{00000000-0004-0000-1400-000000000000}"/>
    <hyperlink ref="P4" r:id="rId2" display="http://www.engineeringtoolbox.com/density-specific-weight-gravity-d_290.html" xr:uid="{00000000-0004-0000-1400-000001000000}"/>
    <hyperlink ref="N138" r:id="rId3" display="http://www.engineeringtoolbox.com/propylene-glycol-d_363.html" xr:uid="{00000000-0004-0000-1400-000002000000}"/>
    <hyperlink ref="N153" r:id="rId4" tooltip="brix - sugar concentration in liquid" display="http://www.engineeringtoolbox.com/degrees-brix-d_1828.html" xr:uid="{00000000-0004-0000-1400-000003000000}"/>
    <hyperlink ref="N164" r:id="rId5" display="http://www.engineeringtoolbox.com/water-thermal-properties-d_162.html" xr:uid="{00000000-0004-0000-1400-000004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D4:L17"/>
  <sheetViews>
    <sheetView workbookViewId="0"/>
  </sheetViews>
  <sheetFormatPr baseColWidth="10" defaultColWidth="8.83203125" defaultRowHeight="16"/>
  <cols>
    <col min="5" max="5" width="27.6640625" customWidth="1"/>
    <col min="7" max="7" width="10.6640625" hidden="1" customWidth="1"/>
    <col min="8" max="8" width="10.6640625" customWidth="1"/>
    <col min="9" max="12" width="10.6640625" hidden="1" customWidth="1"/>
  </cols>
  <sheetData>
    <row r="4" spans="4:12" s="174" customFormat="1" ht="68">
      <c r="D4" s="174" t="s">
        <v>92</v>
      </c>
      <c r="E4" s="174" t="s">
        <v>93</v>
      </c>
      <c r="F4" s="174" t="s">
        <v>94</v>
      </c>
      <c r="G4" s="174" t="s">
        <v>156</v>
      </c>
      <c r="H4" s="174" t="s">
        <v>378</v>
      </c>
      <c r="I4" s="174" t="s">
        <v>158</v>
      </c>
      <c r="J4" s="174" t="s">
        <v>379</v>
      </c>
      <c r="K4" s="174" t="s">
        <v>142</v>
      </c>
      <c r="L4" s="174" t="s">
        <v>96</v>
      </c>
    </row>
    <row r="5" spans="4:12" s="174" customFormat="1" ht="34">
      <c r="G5" s="174">
        <v>16.02</v>
      </c>
      <c r="H5" s="174">
        <v>4.1870000000000003</v>
      </c>
      <c r="I5" s="174">
        <v>2.3260000000000001</v>
      </c>
      <c r="J5" s="174">
        <v>4.1870000000000003</v>
      </c>
      <c r="K5" s="174" t="s">
        <v>101</v>
      </c>
      <c r="L5" s="174" t="s">
        <v>101</v>
      </c>
    </row>
    <row r="6" spans="4:12" s="174" customFormat="1" ht="34">
      <c r="D6" s="174">
        <v>55</v>
      </c>
      <c r="E6" s="174" t="s">
        <v>162</v>
      </c>
      <c r="F6" s="174" t="s">
        <v>161</v>
      </c>
      <c r="G6" s="174">
        <v>0</v>
      </c>
      <c r="H6" s="174">
        <v>0.47002627179364698</v>
      </c>
      <c r="I6" s="174">
        <v>0</v>
      </c>
      <c r="J6" s="174">
        <v>0</v>
      </c>
      <c r="K6" s="174">
        <v>-4.0000000000048885E-3</v>
      </c>
      <c r="L6" s="174">
        <v>-4.0000000000048885E-3</v>
      </c>
    </row>
    <row r="7" spans="4:12" s="174" customFormat="1" ht="17">
      <c r="D7" s="174">
        <v>56</v>
      </c>
      <c r="E7" s="174" t="s">
        <v>380</v>
      </c>
      <c r="F7" s="174" t="s">
        <v>161</v>
      </c>
      <c r="G7" s="174">
        <v>0</v>
      </c>
      <c r="H7" s="174">
        <v>0.49008836876044898</v>
      </c>
      <c r="I7" s="174">
        <v>0</v>
      </c>
      <c r="J7" s="174">
        <v>0</v>
      </c>
      <c r="K7" s="174">
        <v>-4.0000000000048885E-3</v>
      </c>
      <c r="L7" s="174">
        <v>-4.0000000000048885E-3</v>
      </c>
    </row>
    <row r="8" spans="4:12" s="174" customFormat="1" ht="17">
      <c r="D8" s="174">
        <v>57</v>
      </c>
      <c r="E8" s="174" t="s">
        <v>381</v>
      </c>
      <c r="F8" s="174" t="s">
        <v>161</v>
      </c>
      <c r="G8" s="174">
        <v>0</v>
      </c>
      <c r="H8" s="174">
        <v>0.50991163123955086</v>
      </c>
      <c r="I8" s="174">
        <v>0</v>
      </c>
      <c r="J8" s="174">
        <v>0</v>
      </c>
      <c r="K8" s="174">
        <v>-4.0000000000048885E-3</v>
      </c>
      <c r="L8" s="174">
        <v>-4.0000000000048885E-3</v>
      </c>
    </row>
    <row r="9" spans="4:12" s="174" customFormat="1" ht="17">
      <c r="D9" s="174">
        <v>58</v>
      </c>
      <c r="E9" s="174" t="s">
        <v>382</v>
      </c>
      <c r="F9" s="174" t="s">
        <v>161</v>
      </c>
      <c r="G9" s="174">
        <v>0</v>
      </c>
      <c r="H9" s="174">
        <v>0.58992118461905896</v>
      </c>
      <c r="I9" s="174">
        <v>0</v>
      </c>
      <c r="J9" s="174">
        <v>0</v>
      </c>
      <c r="K9" s="174">
        <v>-4.0000000000048885E-3</v>
      </c>
      <c r="L9" s="174">
        <v>-4.0000000000048885E-3</v>
      </c>
    </row>
    <row r="10" spans="4:12" s="174" customFormat="1" ht="17">
      <c r="D10" s="174">
        <v>59</v>
      </c>
      <c r="E10" s="174" t="s">
        <v>169</v>
      </c>
      <c r="F10" s="174" t="s">
        <v>161</v>
      </c>
      <c r="G10" s="174">
        <v>0</v>
      </c>
      <c r="H10" s="174">
        <v>0.24504418438022449</v>
      </c>
      <c r="I10" s="174">
        <v>0</v>
      </c>
      <c r="J10" s="174">
        <v>0</v>
      </c>
      <c r="K10" s="174">
        <v>-4.0000000000048885E-3</v>
      </c>
      <c r="L10" s="174">
        <v>-4.0000000000048885E-3</v>
      </c>
    </row>
    <row r="11" spans="4:12" s="174" customFormat="1" ht="17">
      <c r="D11" s="174">
        <v>60</v>
      </c>
      <c r="E11" s="174" t="s">
        <v>171</v>
      </c>
      <c r="F11" s="174" t="s">
        <v>161</v>
      </c>
      <c r="G11" s="174">
        <v>0</v>
      </c>
      <c r="H11" s="174">
        <v>0.25005970862192495</v>
      </c>
      <c r="I11" s="174">
        <v>0</v>
      </c>
      <c r="J11" s="174">
        <v>0</v>
      </c>
      <c r="K11" s="174">
        <v>-4.0000000000048885E-3</v>
      </c>
      <c r="L11" s="174">
        <v>-4.0000000000048885E-3</v>
      </c>
    </row>
    <row r="12" spans="4:12" s="174" customFormat="1" ht="17">
      <c r="D12" s="174">
        <v>61</v>
      </c>
      <c r="E12" s="174" t="s">
        <v>173</v>
      </c>
      <c r="F12" s="174" t="s">
        <v>161</v>
      </c>
      <c r="G12" s="174">
        <v>0</v>
      </c>
      <c r="H12" s="174">
        <v>0.22999761165512297</v>
      </c>
      <c r="I12" s="174">
        <v>0</v>
      </c>
      <c r="J12" s="174">
        <v>0</v>
      </c>
      <c r="K12" s="174">
        <v>-4.0000000000048885E-3</v>
      </c>
      <c r="L12" s="174">
        <v>-4.0000000000048885E-3</v>
      </c>
    </row>
    <row r="13" spans="4:12" s="174" customFormat="1" ht="17">
      <c r="D13" s="174">
        <v>62</v>
      </c>
      <c r="E13" s="174" t="s">
        <v>174</v>
      </c>
      <c r="F13" s="174" t="s">
        <v>161</v>
      </c>
      <c r="G13" s="174">
        <v>0</v>
      </c>
      <c r="H13" s="174">
        <v>0.24002866013852397</v>
      </c>
      <c r="I13" s="174">
        <v>0</v>
      </c>
      <c r="J13" s="174">
        <v>0</v>
      </c>
      <c r="K13" s="174">
        <v>-4.0000000000048885E-3</v>
      </c>
      <c r="L13" s="174">
        <v>-4.0000000000048885E-3</v>
      </c>
    </row>
    <row r="14" spans="4:12" s="174" customFormat="1" ht="34">
      <c r="D14" s="174">
        <v>63</v>
      </c>
      <c r="E14" s="174" t="s">
        <v>164</v>
      </c>
      <c r="F14" s="174" t="s">
        <v>161</v>
      </c>
      <c r="G14" s="174">
        <v>0</v>
      </c>
      <c r="H14" s="174">
        <v>0.25005970862192495</v>
      </c>
      <c r="I14" s="174">
        <v>0</v>
      </c>
      <c r="J14" s="174">
        <v>0</v>
      </c>
      <c r="K14" s="174">
        <v>-4.0000000000048885E-3</v>
      </c>
      <c r="L14" s="174">
        <v>-4.0000000000048885E-3</v>
      </c>
    </row>
    <row r="15" spans="4:12" s="174" customFormat="1" ht="17">
      <c r="D15" s="174">
        <v>64</v>
      </c>
      <c r="E15" s="174" t="s">
        <v>176</v>
      </c>
      <c r="F15" s="174" t="s">
        <v>161</v>
      </c>
      <c r="G15" s="174">
        <v>0</v>
      </c>
      <c r="H15" s="174">
        <v>14.445</v>
      </c>
      <c r="I15" s="174">
        <v>0</v>
      </c>
      <c r="J15" s="174">
        <v>0</v>
      </c>
      <c r="K15" s="174">
        <v>-4.0000000000048885E-3</v>
      </c>
      <c r="L15" s="174">
        <v>-4.0000000000048885E-3</v>
      </c>
    </row>
    <row r="16" spans="4:12" s="174" customFormat="1" ht="17">
      <c r="E16" s="174" t="s">
        <v>133</v>
      </c>
    </row>
    <row r="17" s="174" customFormat="1"/>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684C2-221E-49D2-B839-73C879865877}">
  <sheetPr codeName="Sheet23"/>
  <dimension ref="A1:T86"/>
  <sheetViews>
    <sheetView zoomScale="86" zoomScaleNormal="70" workbookViewId="0"/>
  </sheetViews>
  <sheetFormatPr baseColWidth="10" defaultColWidth="0" defaultRowHeight="16" zeroHeight="1"/>
  <cols>
    <col min="1" max="10" width="9" style="373" customWidth="1"/>
    <col min="11" max="11" width="13.83203125" style="373" customWidth="1"/>
    <col min="12" max="19" width="9" style="816" customWidth="1"/>
    <col min="20" max="20" width="9" style="373" customWidth="1"/>
    <col min="21" max="16384" width="9" style="373" hidden="1"/>
  </cols>
  <sheetData>
    <row r="1" spans="1:3"/>
    <row r="2" spans="1:3"/>
    <row r="3" spans="1:3"/>
    <row r="4" spans="1:3">
      <c r="A4" s="376"/>
      <c r="B4" s="947"/>
      <c r="C4" s="947"/>
    </row>
    <row r="5" spans="1:3">
      <c r="A5" s="376"/>
      <c r="B5" s="947"/>
      <c r="C5" s="947"/>
    </row>
    <row r="6" spans="1:3">
      <c r="A6" s="376"/>
      <c r="B6" s="947"/>
      <c r="C6" s="947"/>
    </row>
    <row r="7" spans="1:3">
      <c r="A7" s="376"/>
      <c r="B7" s="947"/>
      <c r="C7" s="947"/>
    </row>
    <row r="8" spans="1:3">
      <c r="A8" s="376"/>
      <c r="B8" s="947"/>
      <c r="C8" s="947"/>
    </row>
    <row r="9" spans="1:3">
      <c r="A9" s="376"/>
      <c r="B9" s="947"/>
      <c r="C9" s="947"/>
    </row>
    <row r="10" spans="1:3">
      <c r="A10" s="376"/>
      <c r="B10" s="947"/>
      <c r="C10" s="947"/>
    </row>
    <row r="11" spans="1:3">
      <c r="A11" s="376"/>
      <c r="B11" s="947"/>
      <c r="C11" s="947"/>
    </row>
    <row r="12" spans="1:3">
      <c r="A12" s="376"/>
      <c r="B12" s="947"/>
      <c r="C12" s="947"/>
    </row>
    <row r="13" spans="1:3">
      <c r="A13" s="376"/>
      <c r="B13" s="947"/>
      <c r="C13" s="947"/>
    </row>
    <row r="14" spans="1:3">
      <c r="A14" s="376"/>
      <c r="B14" s="947"/>
      <c r="C14" s="947"/>
    </row>
    <row r="15" spans="1:3">
      <c r="A15" s="376"/>
      <c r="B15" s="947"/>
      <c r="C15" s="947"/>
    </row>
    <row r="16" spans="1:3">
      <c r="A16" s="376"/>
      <c r="B16" s="947"/>
      <c r="C16" s="947"/>
    </row>
    <row r="17" spans="1:12">
      <c r="A17" s="376"/>
      <c r="B17" s="947"/>
      <c r="C17" s="947"/>
    </row>
    <row r="18" spans="1:12">
      <c r="A18" s="376"/>
      <c r="B18" s="947"/>
      <c r="C18" s="947"/>
    </row>
    <row r="19" spans="1:12">
      <c r="A19" s="376"/>
      <c r="B19" s="947"/>
      <c r="C19" s="947"/>
    </row>
    <row r="20" spans="1:12">
      <c r="A20" s="376"/>
      <c r="B20" s="947"/>
      <c r="C20" s="947"/>
    </row>
    <row r="21" spans="1:12">
      <c r="A21" s="376"/>
      <c r="B21" s="947"/>
      <c r="C21" s="947"/>
    </row>
    <row r="22" spans="1:12">
      <c r="A22" s="376"/>
      <c r="B22" s="947"/>
      <c r="C22" s="947"/>
    </row>
    <row r="23" spans="1:12">
      <c r="A23" s="376"/>
      <c r="B23" s="947"/>
      <c r="C23" s="947"/>
    </row>
    <row r="24" spans="1:12">
      <c r="A24" s="376"/>
      <c r="B24" s="947"/>
      <c r="C24" s="947"/>
    </row>
    <row r="25" spans="1:12">
      <c r="A25" s="376"/>
      <c r="B25" s="947"/>
      <c r="C25" s="947"/>
    </row>
    <row r="26" spans="1:12">
      <c r="A26" s="376"/>
      <c r="B26" s="947"/>
      <c r="C26" s="947"/>
      <c r="L26" s="817"/>
    </row>
    <row r="27" spans="1:12">
      <c r="A27" s="376"/>
      <c r="B27" s="947"/>
      <c r="C27" s="947"/>
    </row>
    <row r="28" spans="1:12">
      <c r="A28" s="376"/>
      <c r="B28" s="947"/>
      <c r="C28" s="947"/>
    </row>
    <row r="29" spans="1:12">
      <c r="A29" s="376"/>
      <c r="B29" s="947"/>
      <c r="C29" s="947"/>
    </row>
    <row r="30" spans="1:12">
      <c r="A30" s="376"/>
      <c r="B30" s="947"/>
      <c r="C30" s="947"/>
    </row>
    <row r="31" spans="1:12">
      <c r="A31" s="376"/>
      <c r="B31" s="947"/>
      <c r="C31" s="947"/>
    </row>
    <row r="32" spans="1:12">
      <c r="A32" s="376"/>
      <c r="B32" s="947"/>
      <c r="C32" s="947"/>
    </row>
    <row r="33" spans="1:19">
      <c r="A33" s="376"/>
      <c r="B33" s="947"/>
      <c r="C33" s="947"/>
    </row>
    <row r="34" spans="1:19">
      <c r="A34" s="376"/>
      <c r="B34" s="947"/>
      <c r="C34" s="947"/>
    </row>
    <row r="35" spans="1:19">
      <c r="A35" s="376"/>
      <c r="B35" s="947"/>
      <c r="C35" s="947"/>
    </row>
    <row r="36" spans="1:19">
      <c r="A36" s="376"/>
      <c r="B36" s="947"/>
      <c r="C36" s="947"/>
    </row>
    <row r="37" spans="1:19">
      <c r="A37" s="376"/>
      <c r="B37" s="947"/>
      <c r="C37" s="947"/>
    </row>
    <row r="38" spans="1:19">
      <c r="A38" s="376"/>
      <c r="B38" s="947"/>
      <c r="C38" s="947"/>
    </row>
    <row r="39" spans="1:19">
      <c r="A39" s="376"/>
      <c r="B39" s="947"/>
      <c r="C39" s="947"/>
    </row>
    <row r="40" spans="1:19">
      <c r="A40" s="376"/>
      <c r="B40" s="947"/>
      <c r="C40" s="947"/>
    </row>
    <row r="41" spans="1:19" ht="27" customHeight="1">
      <c r="A41" s="376"/>
      <c r="B41" s="947"/>
      <c r="C41" s="947"/>
      <c r="K41" s="939" t="s">
        <v>1560</v>
      </c>
      <c r="L41" s="939"/>
      <c r="M41" s="939"/>
      <c r="N41" s="939"/>
      <c r="O41" s="939"/>
      <c r="P41" s="939"/>
      <c r="Q41" s="939"/>
      <c r="R41" s="939"/>
      <c r="S41" s="939"/>
    </row>
    <row r="42" spans="1:19" ht="45" customHeight="1">
      <c r="B42" s="374"/>
      <c r="C42" s="375"/>
      <c r="K42" s="946" t="s">
        <v>1528</v>
      </c>
      <c r="L42" s="940" t="s">
        <v>1561</v>
      </c>
      <c r="M42" s="940"/>
      <c r="N42" s="940"/>
      <c r="O42" s="940"/>
      <c r="P42" s="940"/>
      <c r="Q42" s="940"/>
      <c r="R42" s="940"/>
      <c r="S42" s="941"/>
    </row>
    <row r="43" spans="1:19" ht="45" customHeight="1">
      <c r="K43" s="936"/>
      <c r="L43" s="942"/>
      <c r="M43" s="942"/>
      <c r="N43" s="942"/>
      <c r="O43" s="942"/>
      <c r="P43" s="942"/>
      <c r="Q43" s="942"/>
      <c r="R43" s="942"/>
      <c r="S43" s="943"/>
    </row>
    <row r="44" spans="1:19" ht="23" customHeight="1">
      <c r="K44" s="936"/>
      <c r="L44" s="942"/>
      <c r="M44" s="942"/>
      <c r="N44" s="942"/>
      <c r="O44" s="942"/>
      <c r="P44" s="942"/>
      <c r="Q44" s="942"/>
      <c r="R44" s="942"/>
      <c r="S44" s="943"/>
    </row>
    <row r="45" spans="1:19" ht="45" customHeight="1">
      <c r="K45" s="936"/>
      <c r="L45" s="942"/>
      <c r="M45" s="942"/>
      <c r="N45" s="942"/>
      <c r="O45" s="942"/>
      <c r="P45" s="942"/>
      <c r="Q45" s="942"/>
      <c r="R45" s="942"/>
      <c r="S45" s="943"/>
    </row>
    <row r="46" spans="1:19" ht="40" customHeight="1">
      <c r="K46" s="936"/>
      <c r="L46" s="944"/>
      <c r="M46" s="944"/>
      <c r="N46" s="944"/>
      <c r="O46" s="944"/>
      <c r="P46" s="944"/>
      <c r="Q46" s="944"/>
      <c r="R46" s="944"/>
      <c r="S46" s="945"/>
    </row>
    <row r="47" spans="1:19" ht="12" customHeight="1">
      <c r="K47" s="933"/>
      <c r="L47" s="934"/>
      <c r="M47" s="934"/>
      <c r="N47" s="934"/>
      <c r="O47" s="934"/>
      <c r="P47" s="934"/>
      <c r="Q47" s="934"/>
      <c r="R47" s="934"/>
      <c r="S47" s="935"/>
    </row>
    <row r="48" spans="1:19" ht="45" customHeight="1">
      <c r="K48" s="936" t="s">
        <v>1529</v>
      </c>
      <c r="L48" s="940" t="s">
        <v>1527</v>
      </c>
      <c r="M48" s="940"/>
      <c r="N48" s="940"/>
      <c r="O48" s="940"/>
      <c r="P48" s="940"/>
      <c r="Q48" s="940"/>
      <c r="R48" s="940"/>
      <c r="S48" s="941"/>
    </row>
    <row r="49" spans="11:19" ht="45" customHeight="1">
      <c r="K49" s="936"/>
      <c r="L49" s="942"/>
      <c r="M49" s="942"/>
      <c r="N49" s="942"/>
      <c r="O49" s="942"/>
      <c r="P49" s="942"/>
      <c r="Q49" s="942"/>
      <c r="R49" s="942"/>
      <c r="S49" s="943"/>
    </row>
    <row r="50" spans="11:19" ht="45" customHeight="1">
      <c r="K50" s="936"/>
      <c r="L50" s="942"/>
      <c r="M50" s="942"/>
      <c r="N50" s="942"/>
      <c r="O50" s="942"/>
      <c r="P50" s="942"/>
      <c r="Q50" s="942"/>
      <c r="R50" s="942"/>
      <c r="S50" s="943"/>
    </row>
    <row r="51" spans="11:19" ht="45" customHeight="1">
      <c r="K51" s="936"/>
      <c r="L51" s="942"/>
      <c r="M51" s="942"/>
      <c r="N51" s="942"/>
      <c r="O51" s="942"/>
      <c r="P51" s="942"/>
      <c r="Q51" s="942"/>
      <c r="R51" s="942"/>
      <c r="S51" s="943"/>
    </row>
    <row r="52" spans="11:19" ht="12" customHeight="1">
      <c r="K52" s="933"/>
      <c r="L52" s="934"/>
      <c r="M52" s="934"/>
      <c r="N52" s="934"/>
      <c r="O52" s="934"/>
      <c r="P52" s="934"/>
      <c r="Q52" s="934"/>
      <c r="R52" s="934"/>
      <c r="S52" s="935"/>
    </row>
    <row r="53" spans="11:19" ht="45" customHeight="1">
      <c r="K53" s="936" t="s">
        <v>1530</v>
      </c>
      <c r="L53" s="942" t="s">
        <v>1562</v>
      </c>
      <c r="M53" s="942"/>
      <c r="N53" s="942"/>
      <c r="O53" s="942"/>
      <c r="P53" s="942"/>
      <c r="Q53" s="942"/>
      <c r="R53" s="942"/>
      <c r="S53" s="943"/>
    </row>
    <row r="54" spans="11:19" ht="45" customHeight="1">
      <c r="K54" s="936"/>
      <c r="L54" s="942"/>
      <c r="M54" s="942"/>
      <c r="N54" s="942"/>
      <c r="O54" s="942"/>
      <c r="P54" s="942"/>
      <c r="Q54" s="942"/>
      <c r="R54" s="942"/>
      <c r="S54" s="943"/>
    </row>
    <row r="55" spans="11:19" ht="45" customHeight="1">
      <c r="K55" s="936"/>
      <c r="L55" s="942"/>
      <c r="M55" s="942"/>
      <c r="N55" s="942"/>
      <c r="O55" s="942"/>
      <c r="P55" s="942"/>
      <c r="Q55" s="942"/>
      <c r="R55" s="942"/>
      <c r="S55" s="943"/>
    </row>
    <row r="56" spans="11:19" ht="45" customHeight="1">
      <c r="K56" s="936"/>
      <c r="L56" s="942"/>
      <c r="M56" s="942"/>
      <c r="N56" s="942"/>
      <c r="O56" s="942"/>
      <c r="P56" s="942"/>
      <c r="Q56" s="942"/>
      <c r="R56" s="942"/>
      <c r="S56" s="943"/>
    </row>
    <row r="57" spans="11:19" ht="12" customHeight="1">
      <c r="K57" s="933"/>
      <c r="L57" s="934"/>
      <c r="M57" s="934"/>
      <c r="N57" s="934"/>
      <c r="O57" s="934"/>
      <c r="P57" s="934"/>
      <c r="Q57" s="934"/>
      <c r="R57" s="934"/>
      <c r="S57" s="935"/>
    </row>
    <row r="58" spans="11:19" ht="31.5" customHeight="1">
      <c r="K58" s="936" t="s">
        <v>1531</v>
      </c>
      <c r="L58" s="942" t="s">
        <v>1563</v>
      </c>
      <c r="M58" s="942"/>
      <c r="N58" s="942"/>
      <c r="O58" s="942"/>
      <c r="P58" s="942"/>
      <c r="Q58" s="942"/>
      <c r="R58" s="942"/>
      <c r="S58" s="943"/>
    </row>
    <row r="59" spans="11:19" ht="26.25" customHeight="1">
      <c r="K59" s="936"/>
      <c r="L59" s="942"/>
      <c r="M59" s="942"/>
      <c r="N59" s="942"/>
      <c r="O59" s="942"/>
      <c r="P59" s="942"/>
      <c r="Q59" s="942"/>
      <c r="R59" s="942"/>
      <c r="S59" s="943"/>
    </row>
    <row r="60" spans="11:19" ht="99" customHeight="1">
      <c r="K60" s="936"/>
      <c r="L60" s="942"/>
      <c r="M60" s="942"/>
      <c r="N60" s="942"/>
      <c r="O60" s="942"/>
      <c r="P60" s="942"/>
      <c r="Q60" s="942"/>
      <c r="R60" s="942"/>
      <c r="S60" s="943"/>
    </row>
    <row r="61" spans="11:19" ht="14.25" customHeight="1">
      <c r="K61" s="933"/>
      <c r="L61" s="934"/>
      <c r="M61" s="934"/>
      <c r="N61" s="934"/>
      <c r="O61" s="934"/>
      <c r="P61" s="934"/>
      <c r="Q61" s="934"/>
      <c r="R61" s="934"/>
      <c r="S61" s="935"/>
    </row>
    <row r="62" spans="11:19" ht="45" customHeight="1">
      <c r="K62" s="936" t="s">
        <v>1532</v>
      </c>
      <c r="L62" s="942" t="s">
        <v>1564</v>
      </c>
      <c r="M62" s="942"/>
      <c r="N62" s="942"/>
      <c r="O62" s="942"/>
      <c r="P62" s="942"/>
      <c r="Q62" s="942"/>
      <c r="R62" s="942"/>
      <c r="S62" s="943"/>
    </row>
    <row r="63" spans="11:19" ht="45" customHeight="1">
      <c r="K63" s="937"/>
      <c r="L63" s="942"/>
      <c r="M63" s="942"/>
      <c r="N63" s="942"/>
      <c r="O63" s="942"/>
      <c r="P63" s="942"/>
      <c r="Q63" s="942"/>
      <c r="R63" s="942"/>
      <c r="S63" s="943"/>
    </row>
    <row r="64" spans="11:19" ht="45" customHeight="1">
      <c r="K64" s="937"/>
      <c r="L64" s="942"/>
      <c r="M64" s="942"/>
      <c r="N64" s="942"/>
      <c r="O64" s="942"/>
      <c r="P64" s="942"/>
      <c r="Q64" s="942"/>
      <c r="R64" s="942"/>
      <c r="S64" s="943"/>
    </row>
    <row r="65" spans="11:19" ht="12" customHeight="1">
      <c r="K65" s="933"/>
      <c r="L65" s="934"/>
      <c r="M65" s="934"/>
      <c r="N65" s="934"/>
      <c r="O65" s="934"/>
      <c r="P65" s="934"/>
      <c r="Q65" s="934"/>
      <c r="R65" s="934"/>
      <c r="S65" s="935"/>
    </row>
    <row r="66" spans="11:19" ht="45" customHeight="1">
      <c r="K66" s="936" t="s">
        <v>1533</v>
      </c>
      <c r="L66" s="942" t="s">
        <v>1565</v>
      </c>
      <c r="M66" s="942"/>
      <c r="N66" s="942"/>
      <c r="O66" s="942"/>
      <c r="P66" s="942"/>
      <c r="Q66" s="942"/>
      <c r="R66" s="942"/>
      <c r="S66" s="943"/>
    </row>
    <row r="67" spans="11:19" ht="45" customHeight="1">
      <c r="K67" s="937"/>
      <c r="L67" s="942"/>
      <c r="M67" s="942"/>
      <c r="N67" s="942"/>
      <c r="O67" s="942"/>
      <c r="P67" s="942"/>
      <c r="Q67" s="942"/>
      <c r="R67" s="942"/>
      <c r="S67" s="943"/>
    </row>
    <row r="68" spans="11:19" ht="45" customHeight="1">
      <c r="K68" s="937"/>
      <c r="L68" s="942"/>
      <c r="M68" s="942"/>
      <c r="N68" s="942"/>
      <c r="O68" s="942"/>
      <c r="P68" s="942"/>
      <c r="Q68" s="942"/>
      <c r="R68" s="942"/>
      <c r="S68" s="943"/>
    </row>
    <row r="69" spans="11:19" ht="12" customHeight="1">
      <c r="K69" s="933"/>
      <c r="L69" s="934"/>
      <c r="M69" s="934"/>
      <c r="N69" s="934"/>
      <c r="O69" s="934"/>
      <c r="P69" s="934"/>
      <c r="Q69" s="934"/>
      <c r="R69" s="934"/>
      <c r="S69" s="935"/>
    </row>
    <row r="70" spans="11:19" ht="45" customHeight="1">
      <c r="K70" s="936" t="s">
        <v>1534</v>
      </c>
      <c r="L70" s="942" t="s">
        <v>1566</v>
      </c>
      <c r="M70" s="942"/>
      <c r="N70" s="942"/>
      <c r="O70" s="942"/>
      <c r="P70" s="942"/>
      <c r="Q70" s="942"/>
      <c r="R70" s="942"/>
      <c r="S70" s="943"/>
    </row>
    <row r="71" spans="11:19" ht="45" customHeight="1">
      <c r="K71" s="937"/>
      <c r="L71" s="942"/>
      <c r="M71" s="942"/>
      <c r="N71" s="942"/>
      <c r="O71" s="942"/>
      <c r="P71" s="942"/>
      <c r="Q71" s="942"/>
      <c r="R71" s="942"/>
      <c r="S71" s="943"/>
    </row>
    <row r="72" spans="11:19" ht="106.5" customHeight="1">
      <c r="K72" s="937"/>
      <c r="L72" s="942"/>
      <c r="M72" s="942"/>
      <c r="N72" s="942"/>
      <c r="O72" s="942"/>
      <c r="P72" s="942"/>
      <c r="Q72" s="942"/>
      <c r="R72" s="942"/>
      <c r="S72" s="943"/>
    </row>
    <row r="73" spans="11:19" ht="12" customHeight="1">
      <c r="K73" s="933"/>
      <c r="L73" s="934"/>
      <c r="M73" s="934"/>
      <c r="N73" s="934"/>
      <c r="O73" s="934"/>
      <c r="P73" s="934"/>
      <c r="Q73" s="934"/>
      <c r="R73" s="934"/>
      <c r="S73" s="935"/>
    </row>
    <row r="74" spans="11:19" ht="45" customHeight="1">
      <c r="K74" s="936" t="s">
        <v>1543</v>
      </c>
      <c r="L74" s="942" t="s">
        <v>1567</v>
      </c>
      <c r="M74" s="942"/>
      <c r="N74" s="942"/>
      <c r="O74" s="942"/>
      <c r="P74" s="942"/>
      <c r="Q74" s="942"/>
      <c r="R74" s="942"/>
      <c r="S74" s="943"/>
    </row>
    <row r="75" spans="11:19" ht="45" customHeight="1">
      <c r="K75" s="937"/>
      <c r="L75" s="942"/>
      <c r="M75" s="942"/>
      <c r="N75" s="942"/>
      <c r="O75" s="942"/>
      <c r="P75" s="942"/>
      <c r="Q75" s="942"/>
      <c r="R75" s="942"/>
      <c r="S75" s="943"/>
    </row>
    <row r="76" spans="11:19" ht="63" customHeight="1">
      <c r="K76" s="937"/>
      <c r="L76" s="942"/>
      <c r="M76" s="942"/>
      <c r="N76" s="942"/>
      <c r="O76" s="942"/>
      <c r="P76" s="942"/>
      <c r="Q76" s="942"/>
      <c r="R76" s="942"/>
      <c r="S76" s="943"/>
    </row>
    <row r="77" spans="11:19" ht="12" customHeight="1">
      <c r="K77" s="933"/>
      <c r="L77" s="934"/>
      <c r="M77" s="934"/>
      <c r="N77" s="934"/>
      <c r="O77" s="934"/>
      <c r="P77" s="934"/>
      <c r="Q77" s="934"/>
      <c r="R77" s="934"/>
      <c r="S77" s="935"/>
    </row>
    <row r="78" spans="11:19" ht="45" customHeight="1">
      <c r="K78" s="936" t="s">
        <v>1535</v>
      </c>
      <c r="L78" s="942" t="s">
        <v>1568</v>
      </c>
      <c r="M78" s="942"/>
      <c r="N78" s="942"/>
      <c r="O78" s="942"/>
      <c r="P78" s="942"/>
      <c r="Q78" s="942"/>
      <c r="R78" s="942"/>
      <c r="S78" s="943"/>
    </row>
    <row r="79" spans="11:19" ht="45" customHeight="1">
      <c r="K79" s="937"/>
      <c r="L79" s="942"/>
      <c r="M79" s="942"/>
      <c r="N79" s="942"/>
      <c r="O79" s="942"/>
      <c r="P79" s="942"/>
      <c r="Q79" s="942"/>
      <c r="R79" s="942"/>
      <c r="S79" s="943"/>
    </row>
    <row r="80" spans="11:19" ht="54" customHeight="1">
      <c r="K80" s="937"/>
      <c r="L80" s="942"/>
      <c r="M80" s="942"/>
      <c r="N80" s="942"/>
      <c r="O80" s="942"/>
      <c r="P80" s="942"/>
      <c r="Q80" s="942"/>
      <c r="R80" s="942"/>
      <c r="S80" s="943"/>
    </row>
    <row r="81" spans="11:19" ht="12" customHeight="1">
      <c r="K81" s="933"/>
      <c r="L81" s="934"/>
      <c r="M81" s="934"/>
      <c r="N81" s="934"/>
      <c r="O81" s="934"/>
      <c r="P81" s="934"/>
      <c r="Q81" s="934"/>
      <c r="R81" s="934"/>
      <c r="S81" s="935"/>
    </row>
    <row r="82" spans="11:19" ht="45" customHeight="1">
      <c r="K82" s="936" t="s">
        <v>1536</v>
      </c>
      <c r="L82" s="942" t="s">
        <v>1569</v>
      </c>
      <c r="M82" s="942"/>
      <c r="N82" s="942"/>
      <c r="O82" s="942"/>
      <c r="P82" s="942"/>
      <c r="Q82" s="942"/>
      <c r="R82" s="942"/>
      <c r="S82" s="943"/>
    </row>
    <row r="83" spans="11:19" ht="45" customHeight="1">
      <c r="K83" s="937"/>
      <c r="L83" s="942"/>
      <c r="M83" s="942"/>
      <c r="N83" s="942"/>
      <c r="O83" s="942"/>
      <c r="P83" s="942"/>
      <c r="Q83" s="942"/>
      <c r="R83" s="942"/>
      <c r="S83" s="943"/>
    </row>
    <row r="84" spans="11:19" ht="45" customHeight="1">
      <c r="K84" s="938"/>
      <c r="L84" s="944"/>
      <c r="M84" s="944"/>
      <c r="N84" s="944"/>
      <c r="O84" s="944"/>
      <c r="P84" s="944"/>
      <c r="Q84" s="944"/>
      <c r="R84" s="944"/>
      <c r="S84" s="945"/>
    </row>
    <row r="85" spans="11:19"/>
    <row r="86" spans="11:19"/>
  </sheetData>
  <mergeCells count="31">
    <mergeCell ref="K42:K46"/>
    <mergeCell ref="B4:C41"/>
    <mergeCell ref="K58:K60"/>
    <mergeCell ref="K62:K64"/>
    <mergeCell ref="K61:S61"/>
    <mergeCell ref="K48:K51"/>
    <mergeCell ref="K53:K56"/>
    <mergeCell ref="K52:S52"/>
    <mergeCell ref="K82:K84"/>
    <mergeCell ref="K41:S41"/>
    <mergeCell ref="L42:S46"/>
    <mergeCell ref="L48:S51"/>
    <mergeCell ref="L53:S56"/>
    <mergeCell ref="L58:S60"/>
    <mergeCell ref="L62:S64"/>
    <mergeCell ref="L66:S68"/>
    <mergeCell ref="L70:S72"/>
    <mergeCell ref="L74:S76"/>
    <mergeCell ref="L78:S80"/>
    <mergeCell ref="L82:S84"/>
    <mergeCell ref="K47:S47"/>
    <mergeCell ref="K57:S57"/>
    <mergeCell ref="K74:K76"/>
    <mergeCell ref="K78:K80"/>
    <mergeCell ref="K81:S81"/>
    <mergeCell ref="K77:S77"/>
    <mergeCell ref="K73:S73"/>
    <mergeCell ref="K69:S69"/>
    <mergeCell ref="K65:S65"/>
    <mergeCell ref="K66:K68"/>
    <mergeCell ref="K70:K7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94"/>
  <sheetViews>
    <sheetView zoomScaleNormal="100" workbookViewId="0"/>
  </sheetViews>
  <sheetFormatPr baseColWidth="10" defaultColWidth="0" defaultRowHeight="16" zeroHeight="1"/>
  <cols>
    <col min="1" max="1" width="21.33203125" style="373" customWidth="1"/>
    <col min="2" max="2" width="46.1640625" style="373" customWidth="1"/>
    <col min="3" max="3" width="15.5" style="373" customWidth="1"/>
    <col min="4" max="5" width="15.6640625" style="373" customWidth="1"/>
    <col min="6" max="6" width="15.1640625" style="373" customWidth="1"/>
    <col min="7" max="8" width="9" style="373" customWidth="1"/>
    <col min="9" max="9" width="12.33203125" style="373" customWidth="1"/>
    <col min="10" max="10" width="11.33203125" style="373" bestFit="1" customWidth="1"/>
    <col min="11" max="11" width="13.33203125" style="373" hidden="1" customWidth="1"/>
    <col min="12" max="12" width="8.6640625" style="373" hidden="1" customWidth="1"/>
    <col min="13" max="13" width="10.6640625" style="373" hidden="1" customWidth="1"/>
    <col min="14" max="14" width="2.33203125" style="373" hidden="1" customWidth="1"/>
    <col min="15" max="16" width="9" style="373" hidden="1" customWidth="1"/>
    <col min="17" max="17" width="12.33203125" style="373" hidden="1" customWidth="1"/>
    <col min="18" max="16384" width="9" style="373" hidden="1"/>
  </cols>
  <sheetData>
    <row r="1" spans="1:19"/>
    <row r="2" spans="1:19" ht="17" thickBot="1">
      <c r="K2" s="381"/>
      <c r="L2" s="381"/>
      <c r="M2" s="381"/>
      <c r="N2" s="381"/>
      <c r="O2" s="381"/>
      <c r="P2" s="381"/>
      <c r="Q2" s="381"/>
      <c r="R2" s="381"/>
      <c r="S2" s="381"/>
    </row>
    <row r="3" spans="1:19" customFormat="1" ht="19">
      <c r="A3" s="373"/>
      <c r="B3" s="926" t="s">
        <v>85</v>
      </c>
      <c r="C3" s="992"/>
      <c r="D3" s="992"/>
      <c r="E3" s="992"/>
      <c r="F3" s="992"/>
      <c r="G3" s="992"/>
      <c r="H3" s="992"/>
      <c r="I3" s="993"/>
      <c r="J3" s="377"/>
      <c r="K3" s="377"/>
      <c r="L3" s="381"/>
      <c r="M3" s="381"/>
      <c r="N3" s="381"/>
      <c r="O3" s="298"/>
      <c r="P3" s="298"/>
      <c r="Q3" s="298"/>
      <c r="R3" s="298"/>
      <c r="S3" s="298"/>
    </row>
    <row r="4" spans="1:19" customFormat="1" ht="20" thickBot="1">
      <c r="A4" s="373"/>
      <c r="B4" s="930" t="s">
        <v>86</v>
      </c>
      <c r="C4" s="994"/>
      <c r="D4" s="994"/>
      <c r="E4" s="994"/>
      <c r="F4" s="994"/>
      <c r="G4" s="994"/>
      <c r="H4" s="994"/>
      <c r="I4" s="995"/>
      <c r="J4" s="377"/>
      <c r="K4" s="377"/>
      <c r="L4" s="381"/>
      <c r="M4" s="381"/>
      <c r="N4" s="381"/>
      <c r="O4" s="298"/>
      <c r="P4" s="298"/>
      <c r="Q4" s="298"/>
      <c r="R4" s="298"/>
      <c r="S4" s="298"/>
    </row>
    <row r="5" spans="1:19">
      <c r="K5" s="381"/>
      <c r="L5" s="381"/>
      <c r="M5" s="381"/>
      <c r="N5" s="381"/>
      <c r="O5" s="381"/>
      <c r="P5" s="381"/>
      <c r="Q5" s="381"/>
      <c r="R5" s="381"/>
      <c r="S5" s="381"/>
    </row>
    <row r="6" spans="1:19" s="384" customFormat="1" ht="21" thickBot="1">
      <c r="B6" s="390" t="s">
        <v>46</v>
      </c>
      <c r="K6" s="388"/>
      <c r="L6" s="388"/>
      <c r="M6" s="388"/>
      <c r="N6" s="388"/>
      <c r="O6" s="388"/>
      <c r="P6" s="388"/>
      <c r="Q6" s="388"/>
      <c r="R6" s="388"/>
      <c r="S6" s="388"/>
    </row>
    <row r="7" spans="1:19" s="212" customFormat="1" ht="35" thickBot="1">
      <c r="A7" s="384"/>
      <c r="B7" s="412" t="s">
        <v>54</v>
      </c>
      <c r="C7" s="413"/>
      <c r="D7" s="414" t="s">
        <v>49</v>
      </c>
      <c r="E7" s="414" t="s">
        <v>50</v>
      </c>
      <c r="F7" s="989" t="s">
        <v>91</v>
      </c>
      <c r="G7" s="990"/>
      <c r="H7" s="990"/>
      <c r="I7" s="991"/>
      <c r="J7" s="384"/>
      <c r="K7" s="666" t="e">
        <f>VLOOKUP(D8,NAICS!A2:B22,2,FALSE)</f>
        <v>#N/A</v>
      </c>
      <c r="L7" s="388"/>
      <c r="M7" s="388"/>
      <c r="N7" s="388"/>
      <c r="O7" s="338"/>
      <c r="P7" s="338"/>
      <c r="Q7" s="338"/>
      <c r="R7" s="338"/>
      <c r="S7" s="338"/>
    </row>
    <row r="8" spans="1:19" s="158" customFormat="1" ht="32.25" customHeight="1">
      <c r="A8" s="384"/>
      <c r="B8" s="6" t="s">
        <v>0</v>
      </c>
      <c r="C8" s="210"/>
      <c r="D8" s="996"/>
      <c r="E8" s="996"/>
      <c r="F8" s="997" t="s">
        <v>3</v>
      </c>
      <c r="G8" s="997"/>
      <c r="H8" s="997"/>
      <c r="I8" s="998"/>
      <c r="J8" s="388"/>
      <c r="K8" s="388"/>
      <c r="L8" s="388"/>
      <c r="M8" s="388"/>
      <c r="N8" s="388"/>
      <c r="O8" s="338"/>
      <c r="P8" s="338"/>
      <c r="Q8" s="338"/>
      <c r="R8" s="338"/>
      <c r="S8" s="338"/>
    </row>
    <row r="9" spans="1:19" s="158" customFormat="1" ht="32.25" customHeight="1">
      <c r="A9" s="384"/>
      <c r="B9" s="8" t="s">
        <v>1</v>
      </c>
      <c r="C9" s="211"/>
      <c r="D9" s="999"/>
      <c r="E9" s="999"/>
      <c r="F9" s="953" t="s">
        <v>1507</v>
      </c>
      <c r="G9" s="953"/>
      <c r="H9" s="953"/>
      <c r="I9" s="954"/>
      <c r="J9" s="388"/>
      <c r="K9" s="388"/>
      <c r="L9" s="388"/>
      <c r="M9" s="388"/>
      <c r="N9" s="388"/>
      <c r="O9" s="338"/>
      <c r="P9" s="338"/>
      <c r="Q9" s="338"/>
      <c r="R9" s="338"/>
      <c r="S9" s="338"/>
    </row>
    <row r="10" spans="1:19" s="174" customFormat="1" ht="17">
      <c r="A10" s="384"/>
      <c r="B10" s="8" t="s">
        <v>10</v>
      </c>
      <c r="C10" s="211"/>
      <c r="D10" s="978" t="s">
        <v>102</v>
      </c>
      <c r="E10" s="979"/>
      <c r="F10" s="985"/>
      <c r="G10" s="986"/>
      <c r="H10" s="986"/>
      <c r="I10" s="987"/>
      <c r="J10" s="388"/>
      <c r="K10" s="388"/>
      <c r="L10" s="388"/>
      <c r="M10" s="388"/>
      <c r="N10" s="388"/>
      <c r="O10" s="338"/>
      <c r="P10" s="338"/>
      <c r="Q10" s="338"/>
      <c r="R10" s="338"/>
      <c r="S10" s="338"/>
    </row>
    <row r="11" spans="1:19" s="158" customFormat="1" ht="17">
      <c r="A11" s="384"/>
      <c r="B11" s="8" t="s">
        <v>279</v>
      </c>
      <c r="C11" s="211"/>
      <c r="D11" s="978"/>
      <c r="E11" s="979"/>
      <c r="F11" s="953"/>
      <c r="G11" s="953"/>
      <c r="H11" s="953"/>
      <c r="I11" s="954"/>
      <c r="J11" s="388"/>
      <c r="K11" s="388"/>
      <c r="L11" s="388"/>
      <c r="M11" s="388"/>
      <c r="N11" s="388"/>
      <c r="O11" s="338"/>
      <c r="P11" s="338"/>
      <c r="Q11" s="338"/>
      <c r="R11" s="338"/>
      <c r="S11" s="338"/>
    </row>
    <row r="12" spans="1:19" s="158" customFormat="1" ht="17">
      <c r="A12" s="384"/>
      <c r="B12" s="8" t="s">
        <v>11</v>
      </c>
      <c r="C12" s="211" t="s">
        <v>12</v>
      </c>
      <c r="D12" s="285"/>
      <c r="E12" s="285"/>
      <c r="F12" s="953"/>
      <c r="G12" s="953"/>
      <c r="H12" s="953"/>
      <c r="I12" s="954"/>
      <c r="J12" s="388"/>
      <c r="K12" s="388"/>
      <c r="L12" s="388"/>
      <c r="M12" s="388"/>
      <c r="N12" s="388"/>
      <c r="O12" s="338"/>
      <c r="P12" s="338"/>
      <c r="Q12" s="338"/>
      <c r="R12" s="338"/>
      <c r="S12" s="338"/>
    </row>
    <row r="13" spans="1:19" s="158" customFormat="1" ht="18" thickBot="1">
      <c r="A13" s="384"/>
      <c r="B13" s="8" t="s">
        <v>13</v>
      </c>
      <c r="C13" s="211" t="s">
        <v>12</v>
      </c>
      <c r="D13" s="285"/>
      <c r="E13" s="285"/>
      <c r="F13" s="953"/>
      <c r="G13" s="953"/>
      <c r="H13" s="953"/>
      <c r="I13" s="954"/>
      <c r="J13" s="388"/>
      <c r="K13" s="388"/>
      <c r="L13" s="388"/>
      <c r="M13" s="388"/>
      <c r="N13" s="388"/>
      <c r="O13" s="338"/>
      <c r="P13" s="338"/>
      <c r="Q13" s="338"/>
      <c r="R13" s="338"/>
      <c r="S13" s="338"/>
    </row>
    <row r="14" spans="1:19" s="212" customFormat="1" ht="17" thickBot="1">
      <c r="A14" s="384"/>
      <c r="B14" s="407"/>
      <c r="C14" s="407"/>
      <c r="D14" s="408"/>
      <c r="E14" s="408"/>
      <c r="F14" s="407"/>
      <c r="G14" s="407"/>
      <c r="H14" s="407"/>
      <c r="I14" s="407"/>
      <c r="J14" s="388"/>
      <c r="K14" s="388"/>
      <c r="L14" s="388"/>
      <c r="M14" s="388"/>
      <c r="N14" s="388"/>
      <c r="O14" s="338"/>
      <c r="P14" s="338"/>
      <c r="Q14" s="338"/>
      <c r="R14" s="338"/>
      <c r="S14" s="338"/>
    </row>
    <row r="15" spans="1:19" s="212" customFormat="1" ht="45" customHeight="1" thickBot="1">
      <c r="A15" s="384"/>
      <c r="B15" s="679" t="s">
        <v>814</v>
      </c>
      <c r="C15" s="680" t="s">
        <v>102</v>
      </c>
      <c r="D15" s="681" t="s">
        <v>251</v>
      </c>
      <c r="E15" s="681" t="s">
        <v>672</v>
      </c>
      <c r="F15" s="982" t="s">
        <v>1595</v>
      </c>
      <c r="G15" s="983"/>
      <c r="H15" s="983"/>
      <c r="I15" s="984"/>
      <c r="J15" s="388"/>
      <c r="K15" s="388"/>
      <c r="L15" s="388"/>
      <c r="M15" s="388"/>
      <c r="N15" s="388"/>
      <c r="O15" s="338"/>
      <c r="P15" s="338"/>
      <c r="Q15" s="338"/>
      <c r="R15" s="338"/>
      <c r="S15" s="338"/>
    </row>
    <row r="16" spans="1:19" s="216" customFormat="1" ht="15.5" customHeight="1" thickBot="1">
      <c r="A16" s="384"/>
      <c r="B16" s="409"/>
      <c r="C16" s="435"/>
      <c r="D16" s="410"/>
      <c r="E16" s="410"/>
      <c r="F16" s="411"/>
      <c r="G16" s="411"/>
      <c r="H16" s="411"/>
      <c r="I16" s="411"/>
      <c r="J16" s="388"/>
      <c r="K16" s="388"/>
      <c r="L16" s="388"/>
      <c r="M16" s="388"/>
      <c r="N16" s="388"/>
      <c r="O16" s="338"/>
      <c r="P16" s="338"/>
      <c r="Q16" s="338"/>
      <c r="R16" s="338"/>
      <c r="S16" s="338"/>
    </row>
    <row r="17" spans="1:19" s="158" customFormat="1" ht="16.5" customHeight="1" thickBot="1">
      <c r="A17" s="384"/>
      <c r="B17" s="224" t="s">
        <v>29</v>
      </c>
      <c r="C17" s="225" t="s">
        <v>233</v>
      </c>
      <c r="D17" s="415">
        <f>IF(D10="Solid",Solid!D27,IF('Calculator '!D10="Liquid",liquid!D43,IF(D10="Gas/Vapor",gas!D41)))</f>
        <v>0</v>
      </c>
      <c r="E17" s="416">
        <f>IF(D10="Solid",Solid!E27,IF('Calculator '!D10="Liquid",liquid!E43,IF(D10="Gas/Vapor",gas!E41)))</f>
        <v>0</v>
      </c>
      <c r="F17" s="958" t="s">
        <v>800</v>
      </c>
      <c r="G17" s="959"/>
      <c r="H17" s="959"/>
      <c r="I17" s="960"/>
      <c r="J17" s="388"/>
      <c r="K17" s="388"/>
      <c r="L17" s="388"/>
      <c r="M17" s="388"/>
      <c r="N17" s="388"/>
      <c r="O17" s="338"/>
      <c r="P17" s="338"/>
      <c r="Q17" s="338"/>
      <c r="R17" s="338"/>
      <c r="S17" s="338"/>
    </row>
    <row r="18" spans="1:19" s="223" customFormat="1" ht="18" thickBot="1">
      <c r="A18" s="384"/>
      <c r="B18" s="271" t="s">
        <v>700</v>
      </c>
      <c r="C18" s="272" t="str">
        <f>IF(D10="Solid",Solid!C13,IF('Calculator '!D10="Liquid",liquid!C13,IF('Calculator '!D10="Gas/Vapor",gas!C12)))</f>
        <v>tons/hr.</v>
      </c>
      <c r="D18" s="417">
        <f>IF(D10="Solid",Solid!D13,IF('Calculator '!D10="Liquid",liquid!D13,IF('Calculator '!D10="Gas/Vapor",gas!D12)))</f>
        <v>0</v>
      </c>
      <c r="E18" s="418">
        <f>IF(D10="Solid",Solid!E13,IF('Calculator '!D10="Liquid",liquid!E13,IF('Calculator '!D10="Gas/Vapor",gas!E12)))</f>
        <v>0</v>
      </c>
      <c r="F18" s="961"/>
      <c r="G18" s="962"/>
      <c r="H18" s="962"/>
      <c r="I18" s="963"/>
      <c r="J18" s="388"/>
      <c r="K18" s="388"/>
      <c r="L18" s="388"/>
      <c r="M18" s="388"/>
      <c r="N18" s="388"/>
      <c r="O18" s="338"/>
      <c r="P18" s="338"/>
      <c r="Q18" s="338"/>
      <c r="R18" s="338"/>
      <c r="S18" s="338"/>
    </row>
    <row r="19" spans="1:19" s="216" customFormat="1" ht="18" thickBot="1">
      <c r="A19" s="384"/>
      <c r="B19" s="10" t="s">
        <v>716</v>
      </c>
      <c r="C19" s="217" t="s">
        <v>114</v>
      </c>
      <c r="D19" s="419">
        <f>IF(D10="solid",Solid!D14,IF('Calculator '!D10:E10="liquid",liquid!D14,IF('Calculator '!D10:E10="Gas/Vapor",gas!D13)))</f>
        <v>0</v>
      </c>
      <c r="E19" s="420">
        <f>IF(D10="solid",Solid!E14,IF('Calculator '!D10="liquid",liquid!E14,IF('Calculator '!D10="Gas/Vapor",gas!E13)))</f>
        <v>0</v>
      </c>
      <c r="F19" s="964"/>
      <c r="G19" s="965"/>
      <c r="H19" s="965"/>
      <c r="I19" s="966"/>
      <c r="J19" s="388"/>
      <c r="K19" s="388"/>
      <c r="L19" s="388"/>
      <c r="M19" s="388"/>
      <c r="N19" s="388"/>
      <c r="O19" s="338"/>
      <c r="P19" s="338"/>
      <c r="Q19" s="338"/>
      <c r="R19" s="338"/>
      <c r="S19" s="338"/>
    </row>
    <row r="20" spans="1:19" s="158" customFormat="1" ht="17">
      <c r="A20" s="384"/>
      <c r="B20" s="384"/>
      <c r="C20" s="384"/>
      <c r="D20" s="384" t="s">
        <v>36</v>
      </c>
      <c r="E20" s="388"/>
      <c r="F20" s="967"/>
      <c r="G20" s="967"/>
      <c r="H20" s="967"/>
      <c r="I20" s="967"/>
      <c r="J20" s="384"/>
      <c r="K20" s="388"/>
      <c r="L20" s="388"/>
      <c r="M20" s="388"/>
      <c r="N20" s="388"/>
      <c r="O20" s="338"/>
      <c r="P20" s="338"/>
      <c r="Q20" s="338"/>
      <c r="R20" s="338"/>
      <c r="S20" s="338"/>
    </row>
    <row r="21" spans="1:19" s="158" customFormat="1" ht="20" thickBot="1">
      <c r="A21" s="384"/>
      <c r="B21" s="988" t="s">
        <v>53</v>
      </c>
      <c r="C21" s="988"/>
      <c r="D21" s="988"/>
      <c r="E21" s="988"/>
      <c r="F21" s="988"/>
      <c r="G21" s="988"/>
      <c r="H21" s="988"/>
      <c r="I21" s="988"/>
      <c r="J21" s="384"/>
      <c r="K21" s="388"/>
      <c r="L21" s="388"/>
      <c r="M21" s="388"/>
      <c r="N21" s="388"/>
      <c r="O21" s="338"/>
      <c r="P21" s="338"/>
      <c r="Q21" s="338"/>
      <c r="R21" s="338"/>
      <c r="S21" s="338"/>
    </row>
    <row r="22" spans="1:19" s="158" customFormat="1" ht="34">
      <c r="A22" s="384"/>
      <c r="B22" s="412" t="s">
        <v>54</v>
      </c>
      <c r="C22" s="413"/>
      <c r="D22" s="414" t="s">
        <v>49</v>
      </c>
      <c r="E22" s="414" t="s">
        <v>819</v>
      </c>
      <c r="F22" s="989" t="s">
        <v>91</v>
      </c>
      <c r="G22" s="990"/>
      <c r="H22" s="990"/>
      <c r="I22" s="991"/>
      <c r="J22" s="393"/>
      <c r="K22" s="393"/>
      <c r="L22" s="388"/>
      <c r="M22" s="388"/>
      <c r="N22" s="388"/>
      <c r="O22" s="338"/>
      <c r="P22" s="338"/>
      <c r="Q22" s="338"/>
      <c r="R22" s="338"/>
      <c r="S22" s="338"/>
    </row>
    <row r="23" spans="1:19" s="158" customFormat="1" ht="34">
      <c r="A23" s="384"/>
      <c r="B23" s="14" t="s">
        <v>55</v>
      </c>
      <c r="C23" s="162"/>
      <c r="D23" s="286"/>
      <c r="E23" s="286"/>
      <c r="F23" s="1000" t="s">
        <v>61</v>
      </c>
      <c r="G23" s="1000"/>
      <c r="H23" s="1000"/>
      <c r="I23" s="1001"/>
      <c r="J23" s="388"/>
      <c r="K23" s="388"/>
      <c r="L23" s="388"/>
      <c r="M23" s="388"/>
      <c r="N23" s="388"/>
      <c r="O23" s="338"/>
      <c r="P23" s="338"/>
      <c r="Q23" s="338"/>
      <c r="R23" s="338"/>
      <c r="S23" s="338"/>
    </row>
    <row r="24" spans="1:19" s="158" customFormat="1" ht="34" customHeight="1">
      <c r="A24" s="384"/>
      <c r="B24" s="8" t="s">
        <v>51</v>
      </c>
      <c r="C24" s="160"/>
      <c r="D24" s="827" t="s">
        <v>52</v>
      </c>
      <c r="E24" s="827" t="s">
        <v>65</v>
      </c>
      <c r="F24" s="980" t="s">
        <v>1570</v>
      </c>
      <c r="G24" s="980"/>
      <c r="H24" s="980"/>
      <c r="I24" s="981"/>
      <c r="J24" s="388"/>
      <c r="K24" s="388"/>
      <c r="L24" s="388"/>
      <c r="M24" s="388"/>
      <c r="N24" s="388"/>
      <c r="O24" s="338"/>
      <c r="P24" s="338"/>
      <c r="Q24" s="338"/>
      <c r="R24" s="338"/>
      <c r="S24" s="338"/>
    </row>
    <row r="25" spans="1:19" s="158" customFormat="1" ht="17" customHeight="1">
      <c r="A25" s="384"/>
      <c r="B25" s="8" t="s">
        <v>2</v>
      </c>
      <c r="C25" s="160"/>
      <c r="D25" s="827" t="s">
        <v>67</v>
      </c>
      <c r="E25" s="827" t="s">
        <v>67</v>
      </c>
      <c r="F25" s="980" t="s">
        <v>1571</v>
      </c>
      <c r="G25" s="980"/>
      <c r="H25" s="980"/>
      <c r="I25" s="981"/>
      <c r="J25" s="388"/>
      <c r="K25" s="388"/>
      <c r="L25" s="388"/>
      <c r="M25" s="388"/>
      <c r="N25" s="388"/>
      <c r="O25" s="338"/>
      <c r="P25" s="338"/>
      <c r="Q25" s="338"/>
      <c r="R25" s="338"/>
      <c r="S25" s="338"/>
    </row>
    <row r="26" spans="1:19" s="158" customFormat="1" ht="17" customHeight="1">
      <c r="A26" s="384"/>
      <c r="B26" s="8" t="s">
        <v>17</v>
      </c>
      <c r="C26" s="160"/>
      <c r="D26" s="287"/>
      <c r="E26" s="287"/>
      <c r="F26" s="980" t="s">
        <v>1572</v>
      </c>
      <c r="G26" s="980"/>
      <c r="H26" s="980"/>
      <c r="I26" s="981"/>
      <c r="J26" s="388"/>
      <c r="K26" s="388"/>
      <c r="L26" s="388"/>
      <c r="M26" s="388"/>
      <c r="N26" s="388"/>
      <c r="O26" s="338"/>
      <c r="P26" s="338"/>
      <c r="Q26" s="338"/>
      <c r="R26" s="338"/>
      <c r="S26" s="338"/>
    </row>
    <row r="27" spans="1:19" s="158" customFormat="1" ht="17">
      <c r="A27" s="384"/>
      <c r="B27" s="8" t="s">
        <v>16</v>
      </c>
      <c r="C27" s="160" t="s">
        <v>5</v>
      </c>
      <c r="D27" s="288"/>
      <c r="E27" s="421">
        <f>D27</f>
        <v>0</v>
      </c>
      <c r="F27" s="953"/>
      <c r="G27" s="953"/>
      <c r="H27" s="953"/>
      <c r="I27" s="954"/>
      <c r="J27" s="388"/>
      <c r="K27" s="388"/>
      <c r="L27" s="388"/>
      <c r="M27" s="388"/>
      <c r="N27" s="388"/>
      <c r="O27" s="338"/>
      <c r="P27" s="338"/>
      <c r="Q27" s="338"/>
      <c r="R27" s="338"/>
      <c r="S27" s="338"/>
    </row>
    <row r="28" spans="1:19" s="158" customFormat="1" ht="17">
      <c r="A28" s="384"/>
      <c r="B28" s="8" t="s">
        <v>56</v>
      </c>
      <c r="C28" s="160" t="s">
        <v>6</v>
      </c>
      <c r="D28" s="823"/>
      <c r="E28" s="824">
        <f>D28</f>
        <v>0</v>
      </c>
      <c r="F28" s="953"/>
      <c r="G28" s="953"/>
      <c r="H28" s="953"/>
      <c r="I28" s="954"/>
      <c r="J28" s="388"/>
      <c r="K28" s="388"/>
      <c r="L28" s="388"/>
      <c r="M28" s="388"/>
      <c r="N28" s="388"/>
      <c r="O28" s="338"/>
      <c r="P28" s="338"/>
      <c r="Q28" s="338"/>
      <c r="R28" s="338"/>
      <c r="S28" s="338"/>
    </row>
    <row r="29" spans="1:19" s="158" customFormat="1" ht="17">
      <c r="A29" s="384"/>
      <c r="B29" s="8" t="s">
        <v>40</v>
      </c>
      <c r="C29" s="160" t="s">
        <v>57</v>
      </c>
      <c r="D29" s="287"/>
      <c r="E29" s="287"/>
      <c r="F29" s="953"/>
      <c r="G29" s="953"/>
      <c r="H29" s="953"/>
      <c r="I29" s="954"/>
      <c r="J29" s="388"/>
      <c r="K29" s="388"/>
      <c r="L29" s="388"/>
      <c r="M29" s="388"/>
      <c r="N29" s="388"/>
      <c r="O29" s="338"/>
      <c r="P29" s="338"/>
      <c r="Q29" s="338"/>
      <c r="R29" s="338"/>
      <c r="S29" s="338"/>
    </row>
    <row r="30" spans="1:19" s="170" customFormat="1" ht="17">
      <c r="A30" s="384"/>
      <c r="B30" s="8" t="s">
        <v>245</v>
      </c>
      <c r="C30" s="172" t="s">
        <v>717</v>
      </c>
      <c r="D30" s="422">
        <f>D19</f>
        <v>0</v>
      </c>
      <c r="E30" s="422">
        <f>E19</f>
        <v>0</v>
      </c>
      <c r="F30" s="953"/>
      <c r="G30" s="953"/>
      <c r="H30" s="953"/>
      <c r="I30" s="954"/>
      <c r="J30" s="388"/>
      <c r="K30" s="388"/>
      <c r="L30" s="388"/>
      <c r="M30" s="388"/>
      <c r="N30" s="388"/>
      <c r="O30" s="338"/>
      <c r="P30" s="338"/>
      <c r="Q30" s="338"/>
      <c r="R30" s="338"/>
      <c r="S30" s="338"/>
    </row>
    <row r="31" spans="1:19" s="158" customFormat="1" ht="17">
      <c r="A31" s="384"/>
      <c r="B31" s="8" t="s">
        <v>238</v>
      </c>
      <c r="C31" s="160" t="s">
        <v>239</v>
      </c>
      <c r="D31" s="423">
        <f>D30*D29/2000</f>
        <v>0</v>
      </c>
      <c r="E31" s="423">
        <f>E30*E29/2000</f>
        <v>0</v>
      </c>
      <c r="F31" s="953" t="s">
        <v>36</v>
      </c>
      <c r="G31" s="953"/>
      <c r="H31" s="953"/>
      <c r="I31" s="954"/>
      <c r="J31" s="388"/>
      <c r="K31" s="388"/>
      <c r="L31" s="388"/>
      <c r="M31" s="388"/>
      <c r="N31" s="388"/>
      <c r="O31" s="338"/>
      <c r="P31" s="338"/>
      <c r="Q31" s="338"/>
      <c r="R31" s="338"/>
      <c r="S31" s="338"/>
    </row>
    <row r="32" spans="1:19" s="158" customFormat="1" ht="17">
      <c r="A32" s="384"/>
      <c r="B32" s="8" t="s">
        <v>21</v>
      </c>
      <c r="C32" s="160" t="s">
        <v>7</v>
      </c>
      <c r="D32" s="631"/>
      <c r="E32" s="631"/>
      <c r="F32" s="953"/>
      <c r="G32" s="953"/>
      <c r="H32" s="953"/>
      <c r="I32" s="954"/>
      <c r="J32" s="388"/>
      <c r="K32" s="388"/>
      <c r="L32" s="388"/>
      <c r="M32" s="388"/>
      <c r="N32" s="388"/>
      <c r="O32" s="338"/>
      <c r="P32" s="338"/>
      <c r="Q32" s="338"/>
      <c r="R32" s="338"/>
      <c r="S32" s="338"/>
    </row>
    <row r="33" spans="1:19" s="158" customFormat="1" ht="17">
      <c r="A33" s="384"/>
      <c r="B33" s="8" t="s">
        <v>686</v>
      </c>
      <c r="C33" s="160" t="str">
        <f>C31</f>
        <v>Tons/year</v>
      </c>
      <c r="D33" s="423">
        <f>IFERROR(D31/D32,0)</f>
        <v>0</v>
      </c>
      <c r="E33" s="423">
        <f>IFERROR(E31/E32,0)</f>
        <v>0</v>
      </c>
      <c r="F33" s="953"/>
      <c r="G33" s="953"/>
      <c r="H33" s="953"/>
      <c r="I33" s="954"/>
      <c r="J33" s="388"/>
      <c r="K33" s="948" t="str">
        <f>IF(D33=E33,"","Note: Please make sure the proposed production can be supported by upstream and downstream processes")</f>
        <v/>
      </c>
      <c r="L33" s="948"/>
      <c r="M33" s="948"/>
      <c r="N33" s="388"/>
      <c r="O33" s="338"/>
      <c r="P33" s="338"/>
      <c r="Q33" s="338"/>
      <c r="R33" s="338"/>
      <c r="S33" s="338"/>
    </row>
    <row r="34" spans="1:19" s="201" customFormat="1" ht="17">
      <c r="A34" s="384"/>
      <c r="B34" s="8" t="s">
        <v>629</v>
      </c>
      <c r="C34" s="200"/>
      <c r="D34" s="291" t="s">
        <v>799</v>
      </c>
      <c r="E34" s="291" t="s">
        <v>670</v>
      </c>
      <c r="F34" s="953"/>
      <c r="G34" s="953"/>
      <c r="H34" s="953"/>
      <c r="I34" s="954"/>
      <c r="J34" s="388"/>
      <c r="K34" s="948"/>
      <c r="L34" s="948"/>
      <c r="M34" s="948"/>
      <c r="N34" s="388"/>
      <c r="O34" s="338"/>
      <c r="P34" s="338"/>
      <c r="Q34" s="338"/>
      <c r="R34" s="338"/>
      <c r="S34" s="338"/>
    </row>
    <row r="35" spans="1:19" s="158" customFormat="1" ht="17">
      <c r="A35" s="384"/>
      <c r="B35" s="213" t="s">
        <v>42</v>
      </c>
      <c r="C35" s="160" t="s">
        <v>43</v>
      </c>
      <c r="D35" s="632">
        <f>IF(D34="Measurement",'Energy use'!D8,IF('Calculator '!D34="Efficiency",'Energy use'!D16,IF('Calculator '!D34="Heat Balance",'Energy use'!D23,IF('Calculator '!D34="Supplier",'Energy use'!D27))))</f>
        <v>0</v>
      </c>
      <c r="E35" s="633">
        <f>IF(E34="Measurement",'Energy use'!E8,IF('Calculator '!E34="Efficiency",'Energy use'!E16,IF('Calculator '!E34="Heat Balance",'Energy use'!E23,IF('Calculator '!E34="Supplier",'Energy use'!E27))))</f>
        <v>0</v>
      </c>
      <c r="F35" s="953" t="s">
        <v>244</v>
      </c>
      <c r="G35" s="953"/>
      <c r="H35" s="953"/>
      <c r="I35" s="954"/>
      <c r="J35" s="388"/>
      <c r="K35" s="948"/>
      <c r="L35" s="948"/>
      <c r="M35" s="948"/>
      <c r="N35" s="388"/>
      <c r="O35" s="338"/>
      <c r="P35" s="338"/>
      <c r="Q35" s="338"/>
      <c r="R35" s="338"/>
      <c r="S35" s="338"/>
    </row>
    <row r="36" spans="1:19" s="158" customFormat="1" ht="17">
      <c r="A36" s="384"/>
      <c r="B36" s="8" t="s">
        <v>44</v>
      </c>
      <c r="C36" s="160" t="s">
        <v>45</v>
      </c>
      <c r="D36" s="423">
        <f>D35*D29</f>
        <v>0</v>
      </c>
      <c r="E36" s="633">
        <f>E35*E29</f>
        <v>0</v>
      </c>
      <c r="F36" s="953"/>
      <c r="G36" s="953"/>
      <c r="H36" s="953"/>
      <c r="I36" s="954"/>
      <c r="J36" s="388"/>
      <c r="K36" s="388"/>
      <c r="L36" s="388"/>
      <c r="M36" s="388"/>
      <c r="N36" s="388"/>
      <c r="O36" s="338"/>
      <c r="P36" s="338"/>
      <c r="Q36" s="338"/>
      <c r="R36" s="338"/>
      <c r="S36" s="338"/>
    </row>
    <row r="37" spans="1:19" s="158" customFormat="1" ht="17">
      <c r="A37" s="384"/>
      <c r="B37" s="8" t="s">
        <v>19</v>
      </c>
      <c r="C37" s="160" t="s">
        <v>8</v>
      </c>
      <c r="D37" s="874">
        <f>D36*D27</f>
        <v>0</v>
      </c>
      <c r="E37" s="874">
        <f>E36*E27</f>
        <v>0</v>
      </c>
      <c r="F37" s="953"/>
      <c r="G37" s="953"/>
      <c r="H37" s="953"/>
      <c r="I37" s="954"/>
      <c r="J37" s="388"/>
      <c r="K37" s="388"/>
      <c r="L37" s="388"/>
      <c r="M37" s="388"/>
      <c r="N37" s="388"/>
      <c r="O37" s="338"/>
      <c r="P37" s="338"/>
      <c r="Q37" s="338"/>
      <c r="R37" s="338"/>
      <c r="S37" s="338"/>
    </row>
    <row r="38" spans="1:19" s="158" customFormat="1" ht="17">
      <c r="A38" s="384"/>
      <c r="B38" s="8" t="s">
        <v>1573</v>
      </c>
      <c r="C38" s="160" t="s">
        <v>234</v>
      </c>
      <c r="D38" s="421">
        <f>IFERROR(D37/D31,0)</f>
        <v>0</v>
      </c>
      <c r="E38" s="421">
        <f>IFERROR(E37/E31,0)</f>
        <v>0</v>
      </c>
      <c r="F38" s="953" t="s">
        <v>687</v>
      </c>
      <c r="G38" s="953"/>
      <c r="H38" s="953"/>
      <c r="I38" s="954"/>
      <c r="J38" s="388"/>
      <c r="K38" s="388"/>
      <c r="L38" s="388"/>
      <c r="M38" s="388"/>
      <c r="N38" s="388"/>
      <c r="O38" s="338"/>
      <c r="P38" s="338"/>
      <c r="Q38" s="338"/>
      <c r="R38" s="338"/>
      <c r="S38" s="338"/>
    </row>
    <row r="39" spans="1:19" s="201" customFormat="1" ht="17">
      <c r="A39" s="384"/>
      <c r="B39" s="8" t="s">
        <v>664</v>
      </c>
      <c r="C39" s="200"/>
      <c r="D39" s="421"/>
      <c r="E39" s="875" t="s">
        <v>670</v>
      </c>
      <c r="F39" s="953"/>
      <c r="G39" s="953"/>
      <c r="H39" s="953"/>
      <c r="I39" s="954"/>
      <c r="J39" s="388"/>
      <c r="K39" s="388"/>
      <c r="L39" s="388"/>
      <c r="M39" s="388"/>
      <c r="N39" s="388"/>
      <c r="O39" s="338"/>
      <c r="P39" s="338"/>
      <c r="Q39" s="338"/>
      <c r="R39" s="338"/>
      <c r="S39" s="338"/>
    </row>
    <row r="40" spans="1:19" s="158" customFormat="1" ht="17">
      <c r="A40" s="384"/>
      <c r="B40" s="8" t="s">
        <v>73</v>
      </c>
      <c r="C40" s="160" t="s">
        <v>74</v>
      </c>
      <c r="D40" s="955"/>
      <c r="E40" s="423">
        <f>IF(E39="Measurement",'Energy use'!I9,IF('Calculator '!E39="Efficiency",'Energy use'!I16,IF('Calculator '!E39="Heat Balance",'Energy use'!I21,IF('Calculator '!E39="Supplier",'Energy use'!I27))))</f>
        <v>0</v>
      </c>
      <c r="F40" s="953" t="s">
        <v>36</v>
      </c>
      <c r="G40" s="953"/>
      <c r="H40" s="953"/>
      <c r="I40" s="954"/>
      <c r="J40" s="402"/>
      <c r="K40" s="618" t="s">
        <v>818</v>
      </c>
      <c r="L40" s="388"/>
      <c r="M40" s="388"/>
      <c r="N40" s="388"/>
      <c r="O40" s="338"/>
      <c r="P40" s="338"/>
      <c r="Q40" s="338"/>
      <c r="R40" s="338"/>
      <c r="S40" s="338"/>
    </row>
    <row r="41" spans="1:19" s="158" customFormat="1" ht="19.5" customHeight="1">
      <c r="A41" s="384"/>
      <c r="B41" s="8" t="s">
        <v>75</v>
      </c>
      <c r="C41" s="160" t="s">
        <v>39</v>
      </c>
      <c r="D41" s="956"/>
      <c r="E41" s="423">
        <f>E40*E29</f>
        <v>0</v>
      </c>
      <c r="F41" s="953"/>
      <c r="G41" s="953"/>
      <c r="H41" s="953"/>
      <c r="I41" s="954"/>
      <c r="J41" s="388"/>
      <c r="K41" s="949" t="s">
        <v>815</v>
      </c>
      <c r="L41" s="949"/>
      <c r="M41" s="949"/>
      <c r="N41" s="388"/>
      <c r="O41" s="338"/>
      <c r="P41" s="338"/>
      <c r="Q41" s="338"/>
      <c r="R41" s="338"/>
      <c r="S41" s="338"/>
    </row>
    <row r="42" spans="1:19" s="158" customFormat="1" ht="20.25" customHeight="1">
      <c r="A42" s="384"/>
      <c r="B42" s="8" t="s">
        <v>76</v>
      </c>
      <c r="C42" s="160" t="s">
        <v>8</v>
      </c>
      <c r="D42" s="956"/>
      <c r="E42" s="421">
        <f>E41*E28</f>
        <v>0</v>
      </c>
      <c r="F42" s="953"/>
      <c r="G42" s="953"/>
      <c r="H42" s="953"/>
      <c r="I42" s="954"/>
      <c r="J42" s="388"/>
      <c r="K42" s="950" t="s">
        <v>816</v>
      </c>
      <c r="L42" s="950"/>
      <c r="M42" s="950"/>
      <c r="N42" s="388"/>
      <c r="O42" s="338"/>
      <c r="P42" s="338"/>
      <c r="Q42" s="338"/>
      <c r="R42" s="338"/>
      <c r="S42" s="338"/>
    </row>
    <row r="43" spans="1:19" s="158" customFormat="1" ht="29.25" customHeight="1">
      <c r="A43" s="384"/>
      <c r="B43" s="8" t="s">
        <v>1574</v>
      </c>
      <c r="C43" s="160" t="str">
        <f>C38</f>
        <v>$/ton</v>
      </c>
      <c r="D43" s="957"/>
      <c r="E43" s="873">
        <f>IFERROR((E37+E42)/E31,0)</f>
        <v>0</v>
      </c>
      <c r="F43" s="953"/>
      <c r="G43" s="953"/>
      <c r="H43" s="953"/>
      <c r="I43" s="954"/>
      <c r="J43" s="388"/>
      <c r="K43" s="951" t="s">
        <v>817</v>
      </c>
      <c r="L43" s="951"/>
      <c r="M43" s="951"/>
      <c r="N43" s="388"/>
      <c r="O43" s="338"/>
      <c r="P43" s="338"/>
      <c r="Q43" s="338"/>
      <c r="R43" s="338"/>
      <c r="S43" s="338"/>
    </row>
    <row r="44" spans="1:19" s="158" customFormat="1" ht="27" customHeight="1">
      <c r="A44" s="384"/>
      <c r="B44" s="8" t="s">
        <v>688</v>
      </c>
      <c r="C44" s="160" t="s">
        <v>235</v>
      </c>
      <c r="D44" s="869">
        <f>IFERROR((D35)/(D33/D29),0)</f>
        <v>0</v>
      </c>
      <c r="E44" s="870">
        <f>IFERROR(((E35 +E40*3414)/(E33/E29))/10^6,0)</f>
        <v>0</v>
      </c>
      <c r="F44" s="953"/>
      <c r="G44" s="953"/>
      <c r="H44" s="953"/>
      <c r="I44" s="954"/>
      <c r="J44" s="388"/>
      <c r="K44" s="952" t="s">
        <v>1484</v>
      </c>
      <c r="L44" s="952"/>
      <c r="M44" s="952"/>
      <c r="N44" s="388"/>
      <c r="O44" s="338"/>
      <c r="P44" s="338"/>
      <c r="Q44" s="338"/>
      <c r="R44" s="338"/>
      <c r="S44" s="338"/>
    </row>
    <row r="45" spans="1:19" s="158" customFormat="1" ht="17">
      <c r="A45" s="384"/>
      <c r="B45" s="8" t="s">
        <v>15</v>
      </c>
      <c r="C45" s="160" t="s">
        <v>7</v>
      </c>
      <c r="D45" s="871">
        <f>IFERROR(((D17*2000/10^6)/D44),0)</f>
        <v>0</v>
      </c>
      <c r="E45" s="871">
        <f>IFERROR(((D17*2000/10^6)/E44),0)</f>
        <v>0</v>
      </c>
      <c r="F45" s="953" t="s">
        <v>30</v>
      </c>
      <c r="G45" s="953"/>
      <c r="H45" s="953"/>
      <c r="I45" s="954"/>
      <c r="J45" s="388"/>
      <c r="K45" s="388"/>
      <c r="L45" s="388"/>
      <c r="M45" s="388"/>
      <c r="N45" s="388"/>
      <c r="O45" s="338"/>
      <c r="P45" s="338"/>
      <c r="Q45" s="338"/>
      <c r="R45" s="338"/>
      <c r="S45" s="338"/>
    </row>
    <row r="46" spans="1:19" s="158" customFormat="1" ht="17">
      <c r="A46" s="384"/>
      <c r="B46" s="213" t="s">
        <v>38</v>
      </c>
      <c r="C46" s="160" t="s">
        <v>74</v>
      </c>
      <c r="D46" s="872">
        <f>'Aux equipment'!D23</f>
        <v>0</v>
      </c>
      <c r="E46" s="872">
        <f>'Aux equipment'!D46</f>
        <v>0</v>
      </c>
      <c r="F46" s="953" t="s">
        <v>36</v>
      </c>
      <c r="G46" s="953"/>
      <c r="H46" s="953"/>
      <c r="I46" s="954"/>
      <c r="J46" s="388"/>
      <c r="K46" s="388"/>
      <c r="L46" s="388"/>
      <c r="M46" s="388"/>
      <c r="N46" s="388"/>
      <c r="O46" s="338"/>
      <c r="P46" s="338"/>
      <c r="Q46" s="338"/>
      <c r="R46" s="338"/>
      <c r="S46" s="338"/>
    </row>
    <row r="47" spans="1:19" s="158" customFormat="1" ht="17">
      <c r="A47" s="384"/>
      <c r="B47" s="8" t="s">
        <v>38</v>
      </c>
      <c r="C47" s="160" t="s">
        <v>39</v>
      </c>
      <c r="D47" s="423">
        <f>D46*D29</f>
        <v>0</v>
      </c>
      <c r="E47" s="423">
        <f>E46*E29</f>
        <v>0</v>
      </c>
      <c r="F47" s="953"/>
      <c r="G47" s="953"/>
      <c r="H47" s="953"/>
      <c r="I47" s="954"/>
      <c r="J47" s="388"/>
      <c r="K47" s="388"/>
      <c r="L47" s="388"/>
      <c r="M47" s="388"/>
      <c r="N47" s="388"/>
      <c r="O47" s="338"/>
      <c r="P47" s="338"/>
      <c r="Q47" s="338"/>
      <c r="R47" s="338"/>
      <c r="S47" s="338"/>
    </row>
    <row r="48" spans="1:19" s="158" customFormat="1" ht="17">
      <c r="A48" s="384"/>
      <c r="B48" s="8" t="s">
        <v>221</v>
      </c>
      <c r="C48" s="160" t="str">
        <f>C42</f>
        <v>$/year</v>
      </c>
      <c r="D48" s="421">
        <f>D47*D28</f>
        <v>0</v>
      </c>
      <c r="E48" s="421">
        <f>E47*E28</f>
        <v>0</v>
      </c>
      <c r="F48" s="953"/>
      <c r="G48" s="953"/>
      <c r="H48" s="953"/>
      <c r="I48" s="954"/>
      <c r="J48" s="388"/>
      <c r="K48" s="388"/>
      <c r="L48" s="388"/>
      <c r="M48" s="388"/>
      <c r="N48" s="388"/>
      <c r="O48" s="338"/>
      <c r="P48" s="338"/>
      <c r="Q48" s="338"/>
      <c r="R48" s="338"/>
      <c r="S48" s="338"/>
    </row>
    <row r="49" spans="1:19" s="158" customFormat="1" ht="17">
      <c r="A49" s="384"/>
      <c r="B49" s="8" t="s">
        <v>221</v>
      </c>
      <c r="C49" s="160" t="str">
        <f>C43</f>
        <v>$/ton</v>
      </c>
      <c r="D49" s="421">
        <f>IFERROR(D48/D31,0)</f>
        <v>0</v>
      </c>
      <c r="E49" s="421">
        <f>IFERROR(E48/E31,0)</f>
        <v>0</v>
      </c>
      <c r="F49" s="953"/>
      <c r="G49" s="953"/>
      <c r="H49" s="953"/>
      <c r="I49" s="954"/>
      <c r="J49" s="388"/>
      <c r="K49" s="388"/>
      <c r="L49" s="388"/>
      <c r="M49" s="388"/>
      <c r="N49" s="388"/>
      <c r="O49" s="338"/>
      <c r="P49" s="338"/>
      <c r="Q49" s="338"/>
      <c r="R49" s="338"/>
      <c r="S49" s="338"/>
    </row>
    <row r="50" spans="1:19" s="178" customFormat="1" ht="17">
      <c r="A50" s="384"/>
      <c r="B50" s="213" t="s">
        <v>23</v>
      </c>
      <c r="C50" s="177" t="s">
        <v>589</v>
      </c>
      <c r="D50" s="424">
        <f>'Other utilities '!E12</f>
        <v>0</v>
      </c>
      <c r="E50" s="424">
        <f>'Other utilities '!E27</f>
        <v>0</v>
      </c>
      <c r="F50" s="953"/>
      <c r="G50" s="953"/>
      <c r="H50" s="953"/>
      <c r="I50" s="954"/>
      <c r="J50" s="388"/>
      <c r="K50" s="388"/>
      <c r="L50" s="388"/>
      <c r="M50" s="388"/>
      <c r="N50" s="388"/>
      <c r="O50" s="338"/>
      <c r="P50" s="338"/>
      <c r="Q50" s="338"/>
      <c r="R50" s="338"/>
      <c r="S50" s="338"/>
    </row>
    <row r="51" spans="1:19" s="158" customFormat="1" ht="17">
      <c r="A51" s="384"/>
      <c r="B51" s="8" t="s">
        <v>23</v>
      </c>
      <c r="C51" s="160" t="s">
        <v>8</v>
      </c>
      <c r="D51" s="425">
        <f>D50*D29</f>
        <v>0</v>
      </c>
      <c r="E51" s="425">
        <f>E50*E29</f>
        <v>0</v>
      </c>
      <c r="F51" s="953" t="s">
        <v>36</v>
      </c>
      <c r="G51" s="953"/>
      <c r="H51" s="953"/>
      <c r="I51" s="954"/>
      <c r="J51" s="388"/>
      <c r="K51" s="388"/>
      <c r="L51" s="388"/>
      <c r="M51" s="388"/>
      <c r="N51" s="388"/>
      <c r="O51" s="338"/>
      <c r="P51" s="338"/>
      <c r="Q51" s="338"/>
      <c r="R51" s="338"/>
      <c r="S51" s="338"/>
    </row>
    <row r="52" spans="1:19" s="158" customFormat="1" ht="17">
      <c r="A52" s="384"/>
      <c r="B52" s="8" t="s">
        <v>23</v>
      </c>
      <c r="C52" s="160" t="s">
        <v>684</v>
      </c>
      <c r="D52" s="426">
        <f>IFERROR(D51/D31,0)</f>
        <v>0</v>
      </c>
      <c r="E52" s="426">
        <f>IFERROR(E51/E31,0)</f>
        <v>0</v>
      </c>
      <c r="F52" s="953"/>
      <c r="G52" s="953"/>
      <c r="H52" s="953"/>
      <c r="I52" s="954"/>
      <c r="J52" s="388"/>
      <c r="K52" s="388"/>
      <c r="L52" s="388"/>
      <c r="M52" s="388"/>
      <c r="N52" s="388"/>
      <c r="O52" s="338"/>
      <c r="P52" s="338"/>
      <c r="Q52" s="338"/>
      <c r="R52" s="338"/>
      <c r="S52" s="338"/>
    </row>
    <row r="53" spans="1:19" s="158" customFormat="1" ht="17">
      <c r="A53" s="384"/>
      <c r="B53" s="213" t="s">
        <v>603</v>
      </c>
      <c r="C53" s="160" t="s">
        <v>8</v>
      </c>
      <c r="D53" s="425">
        <f>'Maintenance cost'!D11</f>
        <v>0</v>
      </c>
      <c r="E53" s="425">
        <f>'Maintenance cost'!E11</f>
        <v>0</v>
      </c>
      <c r="F53" s="953"/>
      <c r="G53" s="953"/>
      <c r="H53" s="953"/>
      <c r="I53" s="954"/>
      <c r="J53" s="388" t="s">
        <v>36</v>
      </c>
      <c r="K53" s="388"/>
      <c r="L53" s="388"/>
      <c r="M53" s="388"/>
      <c r="N53" s="388"/>
      <c r="O53" s="338"/>
      <c r="P53" s="338"/>
      <c r="Q53" s="338"/>
      <c r="R53" s="338"/>
      <c r="S53" s="338"/>
    </row>
    <row r="54" spans="1:19" s="158" customFormat="1" ht="17">
      <c r="A54" s="384"/>
      <c r="B54" s="8" t="s">
        <v>683</v>
      </c>
      <c r="C54" s="160" t="str">
        <f>C52</f>
        <v xml:space="preserve">$/ton </v>
      </c>
      <c r="D54" s="424">
        <f>IFERROR(D53/D31,0)</f>
        <v>0</v>
      </c>
      <c r="E54" s="424">
        <f>IFERROR(E53/E31,0)</f>
        <v>0</v>
      </c>
      <c r="F54" s="953"/>
      <c r="G54" s="953"/>
      <c r="H54" s="953"/>
      <c r="I54" s="954"/>
      <c r="J54" s="388"/>
      <c r="K54" s="388"/>
      <c r="L54" s="388"/>
      <c r="M54" s="388"/>
      <c r="N54" s="388"/>
      <c r="O54" s="338"/>
      <c r="P54" s="338"/>
      <c r="Q54" s="338"/>
      <c r="R54" s="338"/>
      <c r="S54" s="338"/>
    </row>
    <row r="55" spans="1:19" s="158" customFormat="1" ht="17">
      <c r="A55" s="384"/>
      <c r="B55" s="213" t="s">
        <v>34</v>
      </c>
      <c r="C55" s="160" t="s">
        <v>8</v>
      </c>
      <c r="D55" s="425">
        <f>'Labor cost '!E13</f>
        <v>0</v>
      </c>
      <c r="E55" s="425">
        <f>'Labor cost '!E29</f>
        <v>0</v>
      </c>
      <c r="F55" s="953" t="s">
        <v>36</v>
      </c>
      <c r="G55" s="953"/>
      <c r="H55" s="953"/>
      <c r="I55" s="954"/>
      <c r="J55" s="388"/>
      <c r="K55" s="388"/>
      <c r="L55" s="388"/>
      <c r="M55" s="388"/>
      <c r="N55" s="388"/>
      <c r="O55" s="338"/>
      <c r="P55" s="338"/>
      <c r="Q55" s="338"/>
      <c r="R55" s="338"/>
      <c r="S55" s="338"/>
    </row>
    <row r="56" spans="1:19" s="158" customFormat="1" ht="17">
      <c r="A56" s="384"/>
      <c r="B56" s="8" t="s">
        <v>34</v>
      </c>
      <c r="C56" s="160" t="str">
        <f>C54</f>
        <v xml:space="preserve">$/ton </v>
      </c>
      <c r="D56" s="427">
        <f>IFERROR(D55/D31,0)</f>
        <v>0</v>
      </c>
      <c r="E56" s="427">
        <f>IFERROR(E55/E31,0)</f>
        <v>0</v>
      </c>
      <c r="F56" s="953"/>
      <c r="G56" s="953"/>
      <c r="H56" s="953"/>
      <c r="I56" s="954"/>
      <c r="J56" s="388"/>
      <c r="K56" s="388"/>
      <c r="L56" s="388"/>
      <c r="M56" s="388"/>
      <c r="N56" s="388"/>
      <c r="O56" s="338"/>
      <c r="P56" s="338"/>
      <c r="Q56" s="338"/>
      <c r="R56" s="338"/>
      <c r="S56" s="338"/>
    </row>
    <row r="57" spans="1:19" s="158" customFormat="1" ht="17">
      <c r="A57" s="384"/>
      <c r="B57" s="8" t="s">
        <v>88</v>
      </c>
      <c r="C57" s="160" t="s">
        <v>7</v>
      </c>
      <c r="D57" s="289"/>
      <c r="E57" s="289"/>
      <c r="F57" s="953"/>
      <c r="G57" s="953"/>
      <c r="H57" s="953"/>
      <c r="I57" s="954"/>
      <c r="J57" s="388"/>
      <c r="K57" s="388"/>
      <c r="L57" s="388"/>
      <c r="M57" s="388"/>
      <c r="N57" s="388"/>
      <c r="O57" s="338"/>
      <c r="P57" s="338"/>
      <c r="Q57" s="338"/>
      <c r="R57" s="338"/>
      <c r="S57" s="338"/>
    </row>
    <row r="58" spans="1:19" s="158" customFormat="1" ht="17">
      <c r="A58" s="384"/>
      <c r="B58" s="8" t="s">
        <v>89</v>
      </c>
      <c r="C58" s="160" t="s">
        <v>684</v>
      </c>
      <c r="D58" s="290"/>
      <c r="E58" s="290"/>
      <c r="F58" s="953"/>
      <c r="G58" s="953"/>
      <c r="H58" s="953"/>
      <c r="I58" s="954"/>
      <c r="J58" s="388"/>
      <c r="K58" s="388"/>
      <c r="L58" s="388"/>
      <c r="M58" s="388"/>
      <c r="N58" s="388"/>
      <c r="O58" s="338"/>
      <c r="P58" s="338"/>
      <c r="Q58" s="338"/>
      <c r="R58" s="338"/>
      <c r="S58" s="338"/>
    </row>
    <row r="59" spans="1:19" s="158" customFormat="1" ht="17">
      <c r="A59" s="384"/>
      <c r="B59" s="8" t="s">
        <v>87</v>
      </c>
      <c r="C59" s="160" t="s">
        <v>8</v>
      </c>
      <c r="D59" s="425">
        <f>D58*D57*D33</f>
        <v>0</v>
      </c>
      <c r="E59" s="425">
        <f>E58*E57*E33</f>
        <v>0</v>
      </c>
      <c r="F59" s="953" t="s">
        <v>36</v>
      </c>
      <c r="G59" s="953"/>
      <c r="H59" s="953"/>
      <c r="I59" s="954"/>
      <c r="J59" s="388"/>
      <c r="K59" s="388"/>
      <c r="L59" s="388"/>
      <c r="M59" s="388"/>
      <c r="N59" s="388"/>
      <c r="O59" s="338"/>
      <c r="P59" s="338"/>
      <c r="Q59" s="338"/>
      <c r="R59" s="338"/>
      <c r="S59" s="338"/>
    </row>
    <row r="60" spans="1:19" s="158" customFormat="1" ht="17">
      <c r="A60" s="384"/>
      <c r="B60" s="8" t="s">
        <v>87</v>
      </c>
      <c r="C60" s="160" t="str">
        <f>C58</f>
        <v xml:space="preserve">$/ton </v>
      </c>
      <c r="D60" s="428">
        <f>IFERROR(D59/D31,0)</f>
        <v>0</v>
      </c>
      <c r="E60" s="428">
        <f>IFERROR(E59/E31,0)</f>
        <v>0</v>
      </c>
      <c r="F60" s="953"/>
      <c r="G60" s="953"/>
      <c r="H60" s="953"/>
      <c r="I60" s="954"/>
      <c r="J60" s="388"/>
      <c r="K60" s="388"/>
      <c r="L60" s="388"/>
      <c r="M60" s="388"/>
      <c r="N60" s="388"/>
      <c r="O60" s="338"/>
      <c r="P60" s="338"/>
      <c r="Q60" s="338"/>
      <c r="R60" s="338"/>
      <c r="S60" s="338"/>
    </row>
    <row r="61" spans="1:19" s="158" customFormat="1" ht="17">
      <c r="A61" s="384"/>
      <c r="B61" s="213" t="s">
        <v>48</v>
      </c>
      <c r="C61" s="160" t="str">
        <f>C60</f>
        <v xml:space="preserve">$/ton </v>
      </c>
      <c r="D61" s="424">
        <f>'Other material cost'!E19</f>
        <v>0</v>
      </c>
      <c r="E61" s="424">
        <f>'Other material cost'!H19</f>
        <v>0</v>
      </c>
      <c r="F61" s="953" t="s">
        <v>718</v>
      </c>
      <c r="G61" s="953"/>
      <c r="H61" s="953"/>
      <c r="I61" s="954"/>
      <c r="J61" s="388"/>
      <c r="K61" s="388"/>
      <c r="L61" s="388"/>
      <c r="M61" s="388"/>
      <c r="N61" s="388"/>
      <c r="O61" s="338"/>
      <c r="P61" s="338"/>
      <c r="Q61" s="338"/>
      <c r="R61" s="338"/>
      <c r="S61" s="338"/>
    </row>
    <row r="62" spans="1:19" s="166" customFormat="1" ht="17">
      <c r="A62" s="384"/>
      <c r="B62" s="8" t="s">
        <v>236</v>
      </c>
      <c r="C62" s="167" t="s">
        <v>237</v>
      </c>
      <c r="D62" s="290"/>
      <c r="E62" s="290"/>
      <c r="F62" s="953"/>
      <c r="G62" s="953"/>
      <c r="H62" s="953"/>
      <c r="I62" s="954"/>
      <c r="J62" s="388"/>
      <c r="K62" s="388"/>
      <c r="L62" s="388"/>
      <c r="M62" s="388"/>
      <c r="N62" s="388"/>
      <c r="O62" s="338"/>
      <c r="P62" s="338"/>
      <c r="Q62" s="338"/>
      <c r="R62" s="338"/>
      <c r="S62" s="338"/>
    </row>
    <row r="63" spans="1:19" s="216" customFormat="1" ht="34">
      <c r="A63" s="384"/>
      <c r="B63" s="8" t="s">
        <v>719</v>
      </c>
      <c r="C63" s="215" t="s">
        <v>690</v>
      </c>
      <c r="D63" s="291"/>
      <c r="E63" s="291"/>
      <c r="F63" s="953"/>
      <c r="G63" s="953"/>
      <c r="H63" s="953"/>
      <c r="I63" s="954"/>
      <c r="J63" s="388"/>
      <c r="K63" s="388"/>
      <c r="L63" s="388"/>
      <c r="M63" s="388"/>
      <c r="N63" s="388"/>
      <c r="O63" s="338"/>
      <c r="P63" s="338"/>
      <c r="Q63" s="338"/>
      <c r="R63" s="338"/>
      <c r="S63" s="338"/>
    </row>
    <row r="64" spans="1:19" s="158" customFormat="1" ht="17">
      <c r="A64" s="384"/>
      <c r="B64" s="8" t="s">
        <v>232</v>
      </c>
      <c r="C64" s="160" t="s">
        <v>8</v>
      </c>
      <c r="D64" s="425">
        <f>IFERROR(D62/D63,0)</f>
        <v>0</v>
      </c>
      <c r="E64" s="425">
        <f>IFERROR(E62/E63,0)</f>
        <v>0</v>
      </c>
      <c r="F64" s="953"/>
      <c r="G64" s="953"/>
      <c r="H64" s="953"/>
      <c r="I64" s="954"/>
      <c r="J64" s="388"/>
      <c r="K64" s="388"/>
      <c r="L64" s="388"/>
      <c r="M64" s="388"/>
      <c r="N64" s="388"/>
      <c r="O64" s="338"/>
      <c r="P64" s="338"/>
      <c r="Q64" s="338"/>
      <c r="R64" s="338"/>
      <c r="S64" s="338"/>
    </row>
    <row r="65" spans="1:19" s="158" customFormat="1" ht="17">
      <c r="A65" s="384"/>
      <c r="B65" s="8" t="s">
        <v>232</v>
      </c>
      <c r="C65" s="160" t="str">
        <f>C61</f>
        <v xml:space="preserve">$/ton </v>
      </c>
      <c r="D65" s="428">
        <f>IFERROR(D64/D31,0)</f>
        <v>0</v>
      </c>
      <c r="E65" s="428">
        <f>IFERROR(E64/E31,0)</f>
        <v>0</v>
      </c>
      <c r="F65" s="953"/>
      <c r="G65" s="953"/>
      <c r="H65" s="953"/>
      <c r="I65" s="954"/>
      <c r="J65" s="388"/>
      <c r="K65" s="388"/>
      <c r="L65" s="388"/>
      <c r="M65" s="388"/>
      <c r="N65" s="388"/>
      <c r="O65" s="338"/>
      <c r="P65" s="338"/>
      <c r="Q65" s="338"/>
      <c r="R65" s="338"/>
      <c r="S65" s="338"/>
    </row>
    <row r="66" spans="1:19" s="158" customFormat="1" ht="17">
      <c r="A66" s="384"/>
      <c r="B66" s="8" t="s">
        <v>638</v>
      </c>
      <c r="C66" s="160" t="s">
        <v>8</v>
      </c>
      <c r="D66" s="290"/>
      <c r="E66" s="290"/>
      <c r="F66" s="953" t="s">
        <v>813</v>
      </c>
      <c r="G66" s="953"/>
      <c r="H66" s="953"/>
      <c r="I66" s="954"/>
      <c r="J66" s="388"/>
      <c r="K66" s="388"/>
      <c r="L66" s="388"/>
      <c r="M66" s="388"/>
      <c r="N66" s="388"/>
      <c r="O66" s="338"/>
      <c r="P66" s="338"/>
      <c r="Q66" s="338"/>
      <c r="R66" s="338"/>
      <c r="S66" s="338"/>
    </row>
    <row r="67" spans="1:19" s="158" customFormat="1" ht="17">
      <c r="A67" s="384"/>
      <c r="B67" s="8" t="s">
        <v>638</v>
      </c>
      <c r="C67" s="160" t="str">
        <f>C65</f>
        <v xml:space="preserve">$/ton </v>
      </c>
      <c r="D67" s="427">
        <f>IFERROR(D66/D31,0)</f>
        <v>0</v>
      </c>
      <c r="E67" s="427">
        <f>IFERROR(E66/E31,0)</f>
        <v>0</v>
      </c>
      <c r="F67" s="953"/>
      <c r="G67" s="953"/>
      <c r="H67" s="953"/>
      <c r="I67" s="954"/>
      <c r="J67" s="388"/>
      <c r="K67" s="388"/>
      <c r="L67" s="388"/>
      <c r="M67" s="388"/>
      <c r="N67" s="388"/>
      <c r="O67" s="338"/>
      <c r="P67" s="338"/>
      <c r="Q67" s="338"/>
      <c r="R67" s="338"/>
      <c r="S67" s="338"/>
    </row>
    <row r="68" spans="1:19" s="158" customFormat="1" ht="17">
      <c r="A68" s="384"/>
      <c r="B68" s="8" t="s">
        <v>22</v>
      </c>
      <c r="C68" s="160" t="s">
        <v>8</v>
      </c>
      <c r="D68" s="663">
        <f>D37+D42+D48+D51+D53+D55+D59+D64+D66</f>
        <v>0</v>
      </c>
      <c r="E68" s="663">
        <f>E37+E42+E48+E51+E53+E55+E59+E64+E66</f>
        <v>0</v>
      </c>
      <c r="F68" s="968"/>
      <c r="G68" s="968"/>
      <c r="H68" s="968"/>
      <c r="I68" s="969"/>
      <c r="J68" s="388"/>
      <c r="K68" s="388"/>
      <c r="L68" s="388"/>
      <c r="M68" s="388"/>
      <c r="N68" s="388"/>
      <c r="O68" s="338"/>
      <c r="P68" s="338"/>
      <c r="Q68" s="338"/>
      <c r="R68" s="338"/>
      <c r="S68" s="338"/>
    </row>
    <row r="69" spans="1:19" s="158" customFormat="1" ht="18" thickBot="1">
      <c r="A69" s="384"/>
      <c r="B69" s="10" t="s">
        <v>685</v>
      </c>
      <c r="C69" s="161" t="s">
        <v>684</v>
      </c>
      <c r="D69" s="664">
        <f>IFERROR(D68/(D31),0)</f>
        <v>0</v>
      </c>
      <c r="E69" s="664">
        <f>IFERROR(E68/(E31),)</f>
        <v>0</v>
      </c>
      <c r="F69" s="970"/>
      <c r="G69" s="970"/>
      <c r="H69" s="970"/>
      <c r="I69" s="971"/>
      <c r="J69" s="388"/>
      <c r="K69" s="388"/>
      <c r="L69" s="388"/>
      <c r="M69" s="388"/>
      <c r="N69" s="388"/>
      <c r="O69" s="338"/>
      <c r="P69" s="338"/>
      <c r="Q69" s="338"/>
      <c r="R69" s="338"/>
      <c r="S69" s="338"/>
    </row>
    <row r="70" spans="1:19" s="158" customFormat="1" ht="17" thickBot="1">
      <c r="A70" s="384"/>
      <c r="B70" s="384"/>
      <c r="C70" s="384"/>
      <c r="D70" s="384"/>
      <c r="E70" s="384"/>
      <c r="F70" s="967"/>
      <c r="G70" s="967"/>
      <c r="H70" s="967"/>
      <c r="I70" s="967"/>
      <c r="J70" s="384"/>
      <c r="K70" s="388"/>
      <c r="L70" s="388"/>
      <c r="M70" s="388"/>
      <c r="N70" s="388"/>
      <c r="O70" s="338"/>
      <c r="P70" s="338"/>
      <c r="Q70" s="338"/>
      <c r="R70" s="338"/>
      <c r="S70" s="338"/>
    </row>
    <row r="71" spans="1:19" s="158" customFormat="1" ht="32.5" customHeight="1" thickBot="1">
      <c r="A71" s="384"/>
      <c r="B71" s="972" t="s">
        <v>689</v>
      </c>
      <c r="C71" s="973"/>
      <c r="D71" s="974">
        <f>IFERROR(D69/E69,0)</f>
        <v>0</v>
      </c>
      <c r="E71" s="975"/>
      <c r="F71" s="976" t="str">
        <f>IF((D71&gt;1), "Cost of fuel fired system is higher than the cost with use of electrotechnology", "Cost of fuel fired system is less than the cost with use of electrotechnology")</f>
        <v>Cost of fuel fired system is less than the cost with use of electrotechnology</v>
      </c>
      <c r="G71" s="976"/>
      <c r="H71" s="976"/>
      <c r="I71" s="977"/>
      <c r="J71" s="389"/>
      <c r="K71" s="389"/>
      <c r="L71" s="384"/>
      <c r="M71" s="384"/>
      <c r="N71" s="433"/>
      <c r="R71" s="156"/>
    </row>
    <row r="72" spans="1:19" s="384" customFormat="1">
      <c r="N72" s="433"/>
    </row>
    <row r="73" spans="1:19" s="384" customFormat="1" ht="20" customHeight="1">
      <c r="B73" s="849" t="s">
        <v>90</v>
      </c>
      <c r="C73" s="849"/>
      <c r="D73" s="849"/>
      <c r="E73" s="849"/>
      <c r="F73" s="826"/>
      <c r="G73" s="826"/>
      <c r="H73" s="826"/>
      <c r="I73" s="826"/>
      <c r="N73" s="433"/>
    </row>
    <row r="74" spans="1:19" s="384" customFormat="1" ht="27" customHeight="1">
      <c r="N74" s="433"/>
    </row>
    <row r="75" spans="1:19" s="384" customFormat="1">
      <c r="N75" s="433"/>
    </row>
    <row r="76" spans="1:19" s="384" customFormat="1" hidden="1">
      <c r="E76" s="403"/>
      <c r="N76" s="433"/>
    </row>
    <row r="77" spans="1:19" s="384" customFormat="1" hidden="1">
      <c r="E77" s="403"/>
      <c r="N77" s="433"/>
    </row>
    <row r="78" spans="1:19" s="384" customFormat="1" hidden="1">
      <c r="N78" s="433"/>
    </row>
    <row r="79" spans="1:19" s="384" customFormat="1" hidden="1">
      <c r="N79" s="433"/>
    </row>
    <row r="80" spans="1:19" s="384" customFormat="1" hidden="1">
      <c r="E80" s="404"/>
      <c r="N80" s="433"/>
    </row>
    <row r="81" spans="2:14" s="384" customFormat="1" hidden="1">
      <c r="E81" s="405"/>
      <c r="N81" s="433"/>
    </row>
    <row r="82" spans="2:14" s="384" customFormat="1" hidden="1">
      <c r="E82" s="406"/>
      <c r="N82" s="433"/>
    </row>
    <row r="83" spans="2:14" s="384" customFormat="1" hidden="1">
      <c r="E83" s="406"/>
      <c r="N83" s="433"/>
    </row>
    <row r="84" spans="2:14" s="384" customFormat="1" hidden="1">
      <c r="C84" s="967"/>
      <c r="D84" s="967"/>
      <c r="E84" s="967"/>
      <c r="F84" s="967"/>
      <c r="G84" s="967"/>
      <c r="H84" s="967"/>
      <c r="I84" s="967"/>
      <c r="N84" s="433"/>
    </row>
    <row r="85" spans="2:14" s="384" customFormat="1" ht="17" hidden="1">
      <c r="B85" s="384" t="s">
        <v>28</v>
      </c>
      <c r="N85" s="433"/>
    </row>
    <row r="86" spans="2:14" s="384" customFormat="1" ht="17" hidden="1">
      <c r="B86" s="385" t="s">
        <v>24</v>
      </c>
      <c r="C86" s="385" t="s">
        <v>64</v>
      </c>
      <c r="D86" s="385" t="s">
        <v>66</v>
      </c>
      <c r="N86" s="433"/>
    </row>
    <row r="87" spans="2:14" s="384" customFormat="1" ht="34" hidden="1">
      <c r="B87" s="385" t="s">
        <v>25</v>
      </c>
      <c r="C87" s="385" t="s">
        <v>65</v>
      </c>
      <c r="D87" s="385" t="s">
        <v>67</v>
      </c>
      <c r="N87" s="433"/>
    </row>
    <row r="88" spans="2:14" s="384" customFormat="1" ht="17" hidden="1">
      <c r="B88" s="385" t="s">
        <v>26</v>
      </c>
      <c r="C88" s="385"/>
      <c r="D88" s="385"/>
      <c r="N88" s="433"/>
    </row>
    <row r="89" spans="2:14" s="384" customFormat="1" ht="17" hidden="1">
      <c r="B89" s="385" t="s">
        <v>27</v>
      </c>
      <c r="C89" s="385"/>
      <c r="D89" s="385"/>
      <c r="N89" s="433"/>
    </row>
    <row r="90" spans="2:14" s="384" customFormat="1" ht="17" hidden="1">
      <c r="B90" s="385" t="s">
        <v>58</v>
      </c>
      <c r="C90" s="385"/>
      <c r="D90" s="385"/>
      <c r="N90" s="433"/>
    </row>
    <row r="91" spans="2:14" s="384" customFormat="1" hidden="1">
      <c r="N91" s="433"/>
    </row>
    <row r="92" spans="2:14" s="384" customFormat="1" hidden="1">
      <c r="N92" s="433"/>
    </row>
    <row r="93" spans="2:14" s="384" customFormat="1" hidden="1">
      <c r="N93" s="433"/>
    </row>
    <row r="94" spans="2:14" s="384" customFormat="1" hidden="1">
      <c r="N94" s="433"/>
    </row>
  </sheetData>
  <sheetProtection algorithmName="SHA-512" hashValue="7F4CdINho/OnM1lcSdZ80vdw6E4h9fIxUFU2LxPj4bG01qja6c2Mn3IrXOHqNnuq+WnAuJhI5y7xuOxu0IhbkQ==" saltValue="fr/Ds2KwCXShCPZoGKoxFQ==" spinCount="100000" sheet="1" objects="1" scenarios="1"/>
  <mergeCells count="76">
    <mergeCell ref="F23:I23"/>
    <mergeCell ref="F24:I24"/>
    <mergeCell ref="F25:I25"/>
    <mergeCell ref="F46:I46"/>
    <mergeCell ref="F65:I65"/>
    <mergeCell ref="F30:I30"/>
    <mergeCell ref="F34:I34"/>
    <mergeCell ref="F39:I39"/>
    <mergeCell ref="F43:I43"/>
    <mergeCell ref="F61:I61"/>
    <mergeCell ref="F58:I58"/>
    <mergeCell ref="F59:I59"/>
    <mergeCell ref="F53:I53"/>
    <mergeCell ref="F55:I55"/>
    <mergeCell ref="F57:I57"/>
    <mergeCell ref="F54:I54"/>
    <mergeCell ref="B3:I3"/>
    <mergeCell ref="B4:I4"/>
    <mergeCell ref="D8:E8"/>
    <mergeCell ref="F8:I8"/>
    <mergeCell ref="D9:E9"/>
    <mergeCell ref="F9:I9"/>
    <mergeCell ref="F7:I7"/>
    <mergeCell ref="D10:E10"/>
    <mergeCell ref="F42:I42"/>
    <mergeCell ref="F26:I26"/>
    <mergeCell ref="F27:I27"/>
    <mergeCell ref="F15:I15"/>
    <mergeCell ref="F10:I10"/>
    <mergeCell ref="F40:I40"/>
    <mergeCell ref="F41:I41"/>
    <mergeCell ref="B21:I21"/>
    <mergeCell ref="D11:E11"/>
    <mergeCell ref="F11:I11"/>
    <mergeCell ref="F12:I12"/>
    <mergeCell ref="F13:I13"/>
    <mergeCell ref="F28:I28"/>
    <mergeCell ref="F20:I20"/>
    <mergeCell ref="F22:I22"/>
    <mergeCell ref="C84:I84"/>
    <mergeCell ref="F66:I66"/>
    <mergeCell ref="F68:I68"/>
    <mergeCell ref="F69:I69"/>
    <mergeCell ref="F70:I70"/>
    <mergeCell ref="B71:C71"/>
    <mergeCell ref="D71:E71"/>
    <mergeCell ref="F71:I71"/>
    <mergeCell ref="F67:I67"/>
    <mergeCell ref="D40:D43"/>
    <mergeCell ref="F17:I19"/>
    <mergeCell ref="F63:I63"/>
    <mergeCell ref="F29:I29"/>
    <mergeCell ref="F47:I47"/>
    <mergeCell ref="F51:I51"/>
    <mergeCell ref="F31:I31"/>
    <mergeCell ref="F32:I32"/>
    <mergeCell ref="F33:I33"/>
    <mergeCell ref="F35:I35"/>
    <mergeCell ref="F36:I36"/>
    <mergeCell ref="F37:I37"/>
    <mergeCell ref="F38:I38"/>
    <mergeCell ref="F48:I48"/>
    <mergeCell ref="F49:I49"/>
    <mergeCell ref="F50:I50"/>
    <mergeCell ref="F64:I64"/>
    <mergeCell ref="F44:I44"/>
    <mergeCell ref="F45:I45"/>
    <mergeCell ref="F52:I52"/>
    <mergeCell ref="F56:I56"/>
    <mergeCell ref="F60:I60"/>
    <mergeCell ref="F62:I62"/>
    <mergeCell ref="K33:M35"/>
    <mergeCell ref="K41:M41"/>
    <mergeCell ref="K42:M42"/>
    <mergeCell ref="K43:M43"/>
    <mergeCell ref="K44:M44"/>
  </mergeCells>
  <dataValidations count="5">
    <dataValidation type="list" allowBlank="1" showInputMessage="1" showErrorMessage="1" sqref="D25:E25" xr:uid="{00000000-0002-0000-0100-000000000000}">
      <formula1>$D$86:$D$87</formula1>
    </dataValidation>
    <dataValidation type="list" allowBlank="1" showInputMessage="1" showErrorMessage="1" sqref="E24" xr:uid="{00000000-0002-0000-0100-000001000000}">
      <formula1>$C$86:$C$87</formula1>
    </dataValidation>
    <dataValidation type="list" allowBlank="1" showInputMessage="1" showErrorMessage="1" sqref="D10:E10" xr:uid="{00000000-0002-0000-0100-000002000000}">
      <formula1>"Solid,Liquid,Gas/Vapor"</formula1>
    </dataValidation>
    <dataValidation type="list" allowBlank="1" showInputMessage="1" showErrorMessage="1" sqref="D34:E34 E39" xr:uid="{00000000-0002-0000-0100-000003000000}">
      <formula1>"Measurement,Efficiency,Heat Balance,Supplier"</formula1>
    </dataValidation>
    <dataValidation type="list" allowBlank="1" showInputMessage="1" showErrorMessage="1" sqref="D9:E9" xr:uid="{9B16C782-3D13-45FD-BDB5-90BE8915E56C}">
      <formula1>INDIRECT($K$7)</formula1>
    </dataValidation>
  </dataValidations>
  <hyperlinks>
    <hyperlink ref="B35" location="'Energy use'!A1" display="Fuel energy used per hour " xr:uid="{00000000-0004-0000-0100-000000000000}"/>
    <hyperlink ref="C15" location="Solid!A1" display="Solid" xr:uid="{00000000-0004-0000-0100-000001000000}"/>
    <hyperlink ref="D15" location="liquid!A1" display="Liquid" xr:uid="{00000000-0004-0000-0100-000002000000}"/>
    <hyperlink ref="E15" location="gas!A1" display="Gas/Vapor" xr:uid="{00000000-0004-0000-0100-000003000000}"/>
    <hyperlink ref="B46" location="'Aux equipment'!A1" display="Estimated electricity used for aux. Equipment " xr:uid="{00000000-0004-0000-0100-000004000000}"/>
    <hyperlink ref="B50" location="'Other utilities '!A1" display="Cost of other utilities (i.e. water, air etc.) " xr:uid="{00000000-0004-0000-0100-000005000000}"/>
    <hyperlink ref="B53" location="'Maintenance cost'!A1" display="Maintenance cost per year " xr:uid="{00000000-0004-0000-0100-000006000000}"/>
    <hyperlink ref="B55" location="'Labor cost '!A1" display="Labor and other related cost per year " xr:uid="{00000000-0004-0000-0100-000007000000}"/>
    <hyperlink ref="B61" location="'Other material cost'!A1" display="Other material cost " xr:uid="{00000000-0004-0000-0100-000008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5DE8FB3-9F0E-43C0-9CF5-DF1F8F465C3C}">
          <x14:formula1>
            <xm:f>NAICS!$A$2:$A$22</xm:f>
          </x14:formula1>
          <xm:sqref>D8:E8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A906D-BE33-4EE9-BE89-63323958BB17}">
  <sheetPr codeName="Sheet24"/>
  <dimension ref="A1:P30"/>
  <sheetViews>
    <sheetView topLeftCell="A14" workbookViewId="0">
      <selection activeCell="M9" sqref="M9"/>
    </sheetView>
  </sheetViews>
  <sheetFormatPr baseColWidth="10" defaultColWidth="0" defaultRowHeight="16" zeroHeight="1"/>
  <cols>
    <col min="1" max="2" width="9" style="373" customWidth="1"/>
    <col min="3" max="5" width="9" customWidth="1"/>
    <col min="6" max="6" width="12.33203125" customWidth="1"/>
    <col min="7" max="7" width="12.1640625" customWidth="1"/>
    <col min="8" max="8" width="10.83203125" customWidth="1"/>
    <col min="9" max="9" width="29" customWidth="1"/>
    <col min="10" max="11" width="9" customWidth="1"/>
    <col min="12" max="16" width="9" style="373" customWidth="1"/>
    <col min="17" max="16384" width="9" hidden="1"/>
  </cols>
  <sheetData>
    <row r="1" spans="3:11" s="373" customFormat="1"/>
    <row r="2" spans="3:11" s="373" customFormat="1"/>
    <row r="3" spans="3:11" s="373" customFormat="1" ht="25.5" customHeight="1">
      <c r="C3" s="430" t="s">
        <v>795</v>
      </c>
    </row>
    <row r="4" spans="3:11" s="373" customFormat="1">
      <c r="C4" s="1025" t="s">
        <v>1544</v>
      </c>
      <c r="D4" s="1025"/>
      <c r="E4" s="1025"/>
      <c r="F4" s="1025"/>
      <c r="G4" s="1025"/>
      <c r="H4" s="1025"/>
      <c r="I4" s="1025"/>
      <c r="J4" s="1025"/>
      <c r="K4" s="1025"/>
    </row>
    <row r="5" spans="3:11" s="373" customFormat="1">
      <c r="C5" s="1025"/>
      <c r="D5" s="1025"/>
      <c r="E5" s="1025"/>
      <c r="F5" s="1025"/>
      <c r="G5" s="1025"/>
      <c r="H5" s="1025"/>
      <c r="I5" s="1025"/>
      <c r="J5" s="1025"/>
      <c r="K5" s="1025"/>
    </row>
    <row r="6" spans="3:11" s="373" customFormat="1"/>
    <row r="7" spans="3:11" ht="21">
      <c r="C7" s="1019" t="s">
        <v>792</v>
      </c>
      <c r="D7" s="1020"/>
      <c r="E7" s="1020"/>
      <c r="F7" s="1020"/>
      <c r="G7" s="1020"/>
      <c r="H7" s="1020"/>
      <c r="I7" s="1020"/>
      <c r="J7" s="1020"/>
      <c r="K7" s="1021"/>
    </row>
    <row r="8" spans="3:11" ht="38.25" customHeight="1">
      <c r="C8" s="1010" t="s">
        <v>1524</v>
      </c>
      <c r="D8" s="1011"/>
      <c r="E8" s="1011"/>
      <c r="F8" s="1011"/>
      <c r="G8" s="1011"/>
      <c r="H8" s="1011"/>
      <c r="I8" s="1012"/>
      <c r="J8" s="1013"/>
      <c r="K8" s="1014"/>
    </row>
    <row r="9" spans="3:11" ht="68.25" customHeight="1">
      <c r="C9" s="1007" t="str">
        <f>IF(J8="yes","Please explain the impact the process change has on production","")</f>
        <v/>
      </c>
      <c r="D9" s="1008"/>
      <c r="E9" s="1008"/>
      <c r="F9" s="1008"/>
      <c r="G9" s="1008"/>
      <c r="H9" s="1008"/>
      <c r="I9" s="1008"/>
      <c r="J9" s="1008"/>
      <c r="K9" s="1009"/>
    </row>
    <row r="10" spans="3:11" ht="39.75" customHeight="1">
      <c r="C10" s="1018" t="s">
        <v>1523</v>
      </c>
      <c r="D10" s="1011"/>
      <c r="E10" s="1011"/>
      <c r="F10" s="1011"/>
      <c r="G10" s="1011"/>
      <c r="H10" s="1011"/>
      <c r="I10" s="1012"/>
      <c r="J10" s="1013"/>
      <c r="K10" s="1014"/>
    </row>
    <row r="11" spans="3:11" ht="84" customHeight="1">
      <c r="C11" s="1007" t="str">
        <f>IF(J10="yes","Please explain the impact the process change on other upstream processes","")</f>
        <v/>
      </c>
      <c r="D11" s="1008"/>
      <c r="E11" s="1008"/>
      <c r="F11" s="1008"/>
      <c r="G11" s="1008"/>
      <c r="H11" s="1008"/>
      <c r="I11" s="1008"/>
      <c r="J11" s="1008"/>
      <c r="K11" s="1009"/>
    </row>
    <row r="12" spans="3:11" ht="38.25" customHeight="1">
      <c r="C12" s="1010" t="s">
        <v>1525</v>
      </c>
      <c r="D12" s="1011"/>
      <c r="E12" s="1011"/>
      <c r="F12" s="1011"/>
      <c r="G12" s="1011"/>
      <c r="H12" s="1011"/>
      <c r="I12" s="1012"/>
      <c r="J12" s="1013"/>
      <c r="K12" s="1014"/>
    </row>
    <row r="13" spans="3:11" ht="62.25" customHeight="1">
      <c r="C13" s="1007" t="str">
        <f>IF(J12="yes","Please explain the impact the process change on other downstream processes","")</f>
        <v/>
      </c>
      <c r="D13" s="1008"/>
      <c r="E13" s="1008"/>
      <c r="F13" s="1008"/>
      <c r="G13" s="1008"/>
      <c r="H13" s="1008"/>
      <c r="I13" s="1008"/>
      <c r="J13" s="1008"/>
      <c r="K13" s="1009"/>
    </row>
    <row r="14" spans="3:11" ht="42.75" customHeight="1">
      <c r="C14" s="1022" t="s">
        <v>1508</v>
      </c>
      <c r="D14" s="1023"/>
      <c r="E14" s="1023"/>
      <c r="F14" s="1023"/>
      <c r="G14" s="1023"/>
      <c r="H14" s="1023"/>
      <c r="I14" s="1024"/>
      <c r="J14" s="1013"/>
      <c r="K14" s="1014"/>
    </row>
    <row r="15" spans="3:11" ht="57.75" customHeight="1">
      <c r="C15" s="1004" t="str">
        <f>IF(J14="yes","Please explain the impact the process change has on the final product quality.","")</f>
        <v/>
      </c>
      <c r="D15" s="1005"/>
      <c r="E15" s="1005"/>
      <c r="F15" s="1005"/>
      <c r="G15" s="1005"/>
      <c r="H15" s="1005"/>
      <c r="I15" s="1005"/>
      <c r="J15" s="1005"/>
      <c r="K15" s="1006"/>
    </row>
    <row r="16" spans="3:11" ht="52.5" customHeight="1">
      <c r="C16" s="1018" t="s">
        <v>1526</v>
      </c>
      <c r="D16" s="1023"/>
      <c r="E16" s="1023"/>
      <c r="F16" s="1023"/>
      <c r="G16" s="1023"/>
      <c r="H16" s="1023"/>
      <c r="I16" s="1024"/>
      <c r="J16" s="1013"/>
      <c r="K16" s="1014"/>
    </row>
    <row r="17" spans="3:11" ht="69" customHeight="1">
      <c r="C17" s="1007" t="str">
        <f>IF(J16="yes","Please explain how the raw material needs to be changed to incorporate electrotechnology for the heating process, State economic effect (increased or reduced price) of increased production if any","")</f>
        <v/>
      </c>
      <c r="D17" s="1008"/>
      <c r="E17" s="1008"/>
      <c r="F17" s="1008"/>
      <c r="G17" s="1008"/>
      <c r="H17" s="1008"/>
      <c r="I17" s="1008"/>
      <c r="J17" s="1008"/>
      <c r="K17" s="1009"/>
    </row>
    <row r="18" spans="3:11" s="373" customFormat="1"/>
    <row r="19" spans="3:11" ht="21">
      <c r="C19" s="1019" t="s">
        <v>793</v>
      </c>
      <c r="D19" s="1020"/>
      <c r="E19" s="1020"/>
      <c r="F19" s="1020"/>
      <c r="G19" s="1020"/>
      <c r="H19" s="1020"/>
      <c r="I19" s="1020"/>
      <c r="J19" s="1020"/>
      <c r="K19" s="1021"/>
    </row>
    <row r="20" spans="3:11" ht="48" customHeight="1">
      <c r="C20" s="1018" t="s">
        <v>1509</v>
      </c>
      <c r="D20" s="1011"/>
      <c r="E20" s="1011"/>
      <c r="F20" s="1011"/>
      <c r="G20" s="1011"/>
      <c r="H20" s="1011"/>
      <c r="I20" s="1012"/>
      <c r="J20" s="1013"/>
      <c r="K20" s="1014"/>
    </row>
    <row r="21" spans="3:11" ht="45" customHeight="1">
      <c r="C21" s="1007" t="str">
        <f>IF(J20="yes","Please explain the impact the process change has on the quality of the product and how it translates to the life of the final product or its required maintainance","")</f>
        <v/>
      </c>
      <c r="D21" s="1008"/>
      <c r="E21" s="1008"/>
      <c r="F21" s="1008"/>
      <c r="G21" s="1008"/>
      <c r="H21" s="1008"/>
      <c r="I21" s="1008"/>
      <c r="J21" s="1008"/>
      <c r="K21" s="1009"/>
    </row>
    <row r="22" spans="3:11" ht="42" customHeight="1">
      <c r="C22" s="1010" t="s">
        <v>832</v>
      </c>
      <c r="D22" s="1011"/>
      <c r="E22" s="1011"/>
      <c r="F22" s="1011"/>
      <c r="G22" s="1011"/>
      <c r="H22" s="1011"/>
      <c r="I22" s="1012"/>
      <c r="J22" s="1013"/>
      <c r="K22" s="1014"/>
    </row>
    <row r="23" spans="3:11" ht="53.25" customHeight="1">
      <c r="C23" s="1007" t="str">
        <f>IF(J22="yes","Please explain the impact the process change has on the logistics of the final product.","")</f>
        <v/>
      </c>
      <c r="D23" s="1008"/>
      <c r="E23" s="1008"/>
      <c r="F23" s="1008"/>
      <c r="G23" s="1008"/>
      <c r="H23" s="1008"/>
      <c r="I23" s="1008"/>
      <c r="J23" s="1008"/>
      <c r="K23" s="1009"/>
    </row>
    <row r="24" spans="3:11" ht="27.75" customHeight="1">
      <c r="C24" s="1015" t="s">
        <v>801</v>
      </c>
      <c r="D24" s="1016"/>
      <c r="E24" s="1016"/>
      <c r="F24" s="1016"/>
      <c r="G24" s="1016"/>
      <c r="H24" s="1016"/>
      <c r="I24" s="1017"/>
      <c r="J24" s="1013"/>
      <c r="K24" s="1014"/>
    </row>
    <row r="25" spans="3:11" ht="52.5" customHeight="1">
      <c r="C25" s="1004" t="str">
        <f>IF(J24="yes","Please explain the impact the process change has on the logistics of the final product.","")</f>
        <v/>
      </c>
      <c r="D25" s="1005"/>
      <c r="E25" s="1005"/>
      <c r="F25" s="1005"/>
      <c r="G25" s="1005"/>
      <c r="H25" s="1005"/>
      <c r="I25" s="1005"/>
      <c r="J25" s="1005"/>
      <c r="K25" s="1006"/>
    </row>
    <row r="26" spans="3:11" ht="15.75" customHeight="1">
      <c r="C26" s="1002" t="s">
        <v>1591</v>
      </c>
      <c r="D26" s="1002"/>
      <c r="E26" s="1002"/>
      <c r="F26" s="1002"/>
      <c r="G26" s="1002"/>
      <c r="H26" s="1002"/>
      <c r="I26" s="1002"/>
      <c r="J26" s="1002"/>
      <c r="K26" s="1002"/>
    </row>
    <row r="27" spans="3:11" ht="31.5" customHeight="1">
      <c r="C27" s="1003"/>
      <c r="D27" s="1003"/>
      <c r="E27" s="1003"/>
      <c r="F27" s="1003"/>
      <c r="G27" s="1003"/>
      <c r="H27" s="1003"/>
      <c r="I27" s="1003"/>
      <c r="J27" s="1003"/>
      <c r="K27" s="1003"/>
    </row>
    <row r="28" spans="3:11" ht="16.5" customHeight="1">
      <c r="C28" s="373"/>
      <c r="D28" s="373"/>
      <c r="E28" s="373"/>
      <c r="F28" s="373"/>
      <c r="G28" s="373"/>
      <c r="H28" s="373"/>
      <c r="I28" s="373"/>
      <c r="J28" s="373"/>
      <c r="K28" s="373"/>
    </row>
    <row r="29" spans="3:11" ht="18.75" customHeight="1">
      <c r="C29" s="373" t="s">
        <v>798</v>
      </c>
      <c r="D29" s="373"/>
      <c r="E29" s="373"/>
      <c r="F29" s="373"/>
      <c r="G29" s="429" t="s">
        <v>1592</v>
      </c>
      <c r="H29" s="373"/>
      <c r="I29" s="373"/>
      <c r="J29" s="373"/>
      <c r="K29" s="373"/>
    </row>
    <row r="30" spans="3:11" s="373" customFormat="1" ht="20.25" customHeight="1"/>
  </sheetData>
  <sheetProtection algorithmName="SHA-512" hashValue="37uPaDnIRexRx6eal/Vp3UMvC1qLJaIOdfH8EKyVQrjEcYLiKzKYdIlGE3sluLk+sTRqTnJWtt5fKg62zHigTA==" saltValue="akHrjVSQmo2Llo4R/FAxkA==" spinCount="100000" sheet="1" objects="1" scenarios="1"/>
  <mergeCells count="28">
    <mergeCell ref="C7:K7"/>
    <mergeCell ref="C4:K5"/>
    <mergeCell ref="C8:I8"/>
    <mergeCell ref="J8:K8"/>
    <mergeCell ref="C10:I10"/>
    <mergeCell ref="J10:K10"/>
    <mergeCell ref="C9:K9"/>
    <mergeCell ref="C11:K11"/>
    <mergeCell ref="C13:K13"/>
    <mergeCell ref="C15:K15"/>
    <mergeCell ref="C20:I20"/>
    <mergeCell ref="J20:K20"/>
    <mergeCell ref="C17:K17"/>
    <mergeCell ref="C19:K19"/>
    <mergeCell ref="C12:I12"/>
    <mergeCell ref="J12:K12"/>
    <mergeCell ref="C14:I14"/>
    <mergeCell ref="J14:K14"/>
    <mergeCell ref="C16:I16"/>
    <mergeCell ref="J16:K16"/>
    <mergeCell ref="C26:K27"/>
    <mergeCell ref="C25:K25"/>
    <mergeCell ref="C21:K21"/>
    <mergeCell ref="C22:I22"/>
    <mergeCell ref="J22:K22"/>
    <mergeCell ref="C23:K23"/>
    <mergeCell ref="C24:I24"/>
    <mergeCell ref="J24:K24"/>
  </mergeCells>
  <dataValidations count="1">
    <dataValidation type="list" allowBlank="1" showInputMessage="1" showErrorMessage="1" sqref="J8:K8 J10:K10 J12:K12 J14:K14 J16:K16 J20:K20 J22:K22 J24:K24" xr:uid="{39E76B37-0BED-403A-AFEC-38D771BC43D3}">
      <formula1>"Yes,No"</formula1>
    </dataValidation>
  </dataValidations>
  <hyperlinks>
    <hyperlink ref="G29" r:id="rId1" xr:uid="{C6853E75-6866-4908-85DC-7066F76495B7}"/>
  </hyperlinks>
  <pageMargins left="0.7" right="0.7" top="0.75" bottom="0.75" header="0.3" footer="0.3"/>
  <pageSetup orientation="portrait"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11A89-AB15-4E81-99D2-E63BA32E7711}">
  <dimension ref="A1:Y1919"/>
  <sheetViews>
    <sheetView topLeftCell="A13" workbookViewId="0">
      <selection activeCell="F25" sqref="F25"/>
    </sheetView>
  </sheetViews>
  <sheetFormatPr baseColWidth="10" defaultColWidth="8.83203125" defaultRowHeight="16"/>
  <cols>
    <col min="1" max="1" width="45.1640625" customWidth="1"/>
    <col min="2" max="3" width="11.1640625" customWidth="1"/>
    <col min="4" max="4" width="66.1640625" customWidth="1"/>
    <col min="5" max="5" width="43.1640625" customWidth="1"/>
    <col min="6" max="6" width="39.6640625" customWidth="1"/>
    <col min="7" max="7" width="45" customWidth="1"/>
    <col min="8" max="8" width="43.5" customWidth="1"/>
    <col min="9" max="9" width="44" customWidth="1"/>
    <col min="10" max="10" width="42.5" customWidth="1"/>
    <col min="11" max="11" width="45.6640625" customWidth="1"/>
    <col min="12" max="12" width="41.1640625" customWidth="1"/>
    <col min="13" max="13" width="42.33203125" customWidth="1"/>
    <col min="14" max="14" width="44.5" customWidth="1"/>
    <col min="15" max="15" width="44.1640625" customWidth="1"/>
    <col min="16" max="16" width="39" customWidth="1"/>
    <col min="17" max="17" width="51.6640625" customWidth="1"/>
    <col min="18" max="18" width="41.1640625" customWidth="1"/>
    <col min="19" max="19" width="40.33203125" customWidth="1"/>
    <col min="20" max="20" width="41" customWidth="1"/>
    <col min="21" max="21" width="52.5" customWidth="1"/>
    <col min="22" max="22" width="35.5" customWidth="1"/>
    <col min="23" max="26" width="48.5" customWidth="1"/>
  </cols>
  <sheetData>
    <row r="1" spans="1:25">
      <c r="A1" t="s">
        <v>1483</v>
      </c>
      <c r="B1" s="656"/>
      <c r="C1" s="656"/>
    </row>
    <row r="2" spans="1:25" ht="34.5" customHeight="1">
      <c r="A2" t="s">
        <v>836</v>
      </c>
      <c r="B2" s="655" t="s">
        <v>1486</v>
      </c>
      <c r="C2" s="655"/>
      <c r="D2" t="s">
        <v>836</v>
      </c>
      <c r="E2" s="654" t="s">
        <v>910</v>
      </c>
      <c r="F2" s="654" t="s">
        <v>925</v>
      </c>
      <c r="G2" s="654" t="s">
        <v>943</v>
      </c>
      <c r="H2" s="654" t="s">
        <v>955</v>
      </c>
      <c r="I2" s="654" t="s">
        <v>973</v>
      </c>
      <c r="J2" s="654" t="s">
        <v>984</v>
      </c>
      <c r="K2" s="654" t="s">
        <v>1007</v>
      </c>
      <c r="L2" s="654" t="s">
        <v>1028</v>
      </c>
      <c r="M2" s="654" t="s">
        <v>1036</v>
      </c>
      <c r="N2" s="654" t="s">
        <v>1046</v>
      </c>
      <c r="O2" s="654" t="s">
        <v>1100</v>
      </c>
      <c r="P2" s="654" t="s">
        <v>1129</v>
      </c>
      <c r="Q2" s="654" t="s">
        <v>1164</v>
      </c>
      <c r="R2" s="654" t="s">
        <v>1197</v>
      </c>
      <c r="S2" s="654" t="s">
        <v>1257</v>
      </c>
      <c r="T2" s="654" t="s">
        <v>1315</v>
      </c>
      <c r="U2" s="654" t="s">
        <v>1354</v>
      </c>
      <c r="V2" s="654" t="s">
        <v>1386</v>
      </c>
      <c r="W2" s="654" t="s">
        <v>1436</v>
      </c>
      <c r="X2" s="654" t="s">
        <v>1457</v>
      </c>
      <c r="Y2" s="657"/>
    </row>
    <row r="3" spans="1:25" ht="27.75" customHeight="1">
      <c r="A3" s="654" t="s">
        <v>910</v>
      </c>
      <c r="B3" s="655" t="s">
        <v>1487</v>
      </c>
      <c r="C3" s="655"/>
      <c r="D3" t="s">
        <v>837</v>
      </c>
      <c r="E3" s="654" t="s">
        <v>911</v>
      </c>
      <c r="F3" s="654" t="s">
        <v>926</v>
      </c>
      <c r="G3" s="654" t="s">
        <v>944</v>
      </c>
      <c r="H3" s="654" t="s">
        <v>956</v>
      </c>
      <c r="I3" s="654" t="s">
        <v>974</v>
      </c>
      <c r="J3" s="654" t="s">
        <v>985</v>
      </c>
      <c r="K3" s="654" t="s">
        <v>1008</v>
      </c>
      <c r="L3" s="654" t="s">
        <v>1029</v>
      </c>
      <c r="M3" s="654" t="s">
        <v>1037</v>
      </c>
      <c r="N3" s="654" t="s">
        <v>1047</v>
      </c>
      <c r="O3" s="654" t="s">
        <v>1101</v>
      </c>
      <c r="P3" s="654" t="s">
        <v>1130</v>
      </c>
      <c r="Q3" s="654" t="s">
        <v>1165</v>
      </c>
      <c r="R3" s="654" t="s">
        <v>1198</v>
      </c>
      <c r="S3" s="654" t="s">
        <v>1258</v>
      </c>
      <c r="T3" s="654" t="s">
        <v>1316</v>
      </c>
      <c r="U3" s="654" t="s">
        <v>1355</v>
      </c>
      <c r="V3" s="654" t="s">
        <v>1387</v>
      </c>
      <c r="W3" s="654" t="s">
        <v>1437</v>
      </c>
      <c r="X3" s="654" t="s">
        <v>1458</v>
      </c>
      <c r="Y3" s="657"/>
    </row>
    <row r="4" spans="1:25" ht="28">
      <c r="A4" s="654" t="s">
        <v>925</v>
      </c>
      <c r="B4" s="655" t="s">
        <v>1488</v>
      </c>
      <c r="C4" s="655"/>
      <c r="D4" t="s">
        <v>838</v>
      </c>
      <c r="E4" s="654" t="s">
        <v>912</v>
      </c>
      <c r="F4" s="654" t="s">
        <v>927</v>
      </c>
      <c r="G4" s="654" t="s">
        <v>945</v>
      </c>
      <c r="H4" s="654" t="s">
        <v>957</v>
      </c>
      <c r="I4" s="654" t="s">
        <v>975</v>
      </c>
      <c r="J4" s="654" t="s">
        <v>986</v>
      </c>
      <c r="K4" s="654" t="s">
        <v>1009</v>
      </c>
      <c r="L4" s="654" t="s">
        <v>1030</v>
      </c>
      <c r="M4" s="654" t="s">
        <v>1038</v>
      </c>
      <c r="N4" s="654" t="s">
        <v>1048</v>
      </c>
      <c r="O4" s="654" t="s">
        <v>1102</v>
      </c>
      <c r="P4" s="654" t="s">
        <v>1131</v>
      </c>
      <c r="Q4" s="654" t="s">
        <v>1166</v>
      </c>
      <c r="R4" s="654" t="s">
        <v>1199</v>
      </c>
      <c r="S4" s="654" t="s">
        <v>1259</v>
      </c>
      <c r="T4" s="654" t="s">
        <v>1317</v>
      </c>
      <c r="U4" s="654" t="s">
        <v>1356</v>
      </c>
      <c r="V4" s="654" t="s">
        <v>1388</v>
      </c>
      <c r="W4" s="654" t="s">
        <v>1438</v>
      </c>
      <c r="X4" s="654" t="s">
        <v>1459</v>
      </c>
    </row>
    <row r="5" spans="1:25" ht="28">
      <c r="A5" s="654" t="s">
        <v>943</v>
      </c>
      <c r="B5" s="655" t="s">
        <v>1489</v>
      </c>
      <c r="C5" s="655"/>
      <c r="D5" t="s">
        <v>839</v>
      </c>
      <c r="E5" s="654" t="s">
        <v>913</v>
      </c>
      <c r="F5" s="654" t="s">
        <v>928</v>
      </c>
      <c r="G5" s="654" t="s">
        <v>946</v>
      </c>
      <c r="H5" s="654" t="s">
        <v>958</v>
      </c>
      <c r="I5" s="654" t="s">
        <v>976</v>
      </c>
      <c r="J5" s="654" t="s">
        <v>987</v>
      </c>
      <c r="K5" s="654" t="s">
        <v>1010</v>
      </c>
      <c r="L5" s="654" t="s">
        <v>1031</v>
      </c>
      <c r="M5" s="654" t="s">
        <v>1039</v>
      </c>
      <c r="N5" s="654" t="s">
        <v>1049</v>
      </c>
      <c r="O5" s="654" t="s">
        <v>1103</v>
      </c>
      <c r="P5" s="654" t="s">
        <v>1132</v>
      </c>
      <c r="Q5" s="654" t="s">
        <v>1167</v>
      </c>
      <c r="R5" s="654" t="s">
        <v>1200</v>
      </c>
      <c r="S5" s="654" t="s">
        <v>1260</v>
      </c>
      <c r="T5" s="654" t="s">
        <v>1318</v>
      </c>
      <c r="U5" s="654" t="s">
        <v>1357</v>
      </c>
      <c r="V5" s="654" t="s">
        <v>1389</v>
      </c>
      <c r="W5" s="654" t="s">
        <v>1439</v>
      </c>
      <c r="X5" s="654" t="s">
        <v>1460</v>
      </c>
    </row>
    <row r="6" spans="1:25" ht="28">
      <c r="A6" s="654" t="s">
        <v>955</v>
      </c>
      <c r="B6" s="655" t="s">
        <v>1490</v>
      </c>
      <c r="C6" s="655"/>
      <c r="D6" t="s">
        <v>840</v>
      </c>
      <c r="E6" s="654" t="s">
        <v>914</v>
      </c>
      <c r="F6" s="654" t="s">
        <v>929</v>
      </c>
      <c r="G6" s="654" t="s">
        <v>947</v>
      </c>
      <c r="H6" s="654" t="s">
        <v>959</v>
      </c>
      <c r="I6" s="654" t="s">
        <v>977</v>
      </c>
      <c r="J6" s="654" t="s">
        <v>988</v>
      </c>
      <c r="K6" s="654" t="s">
        <v>1011</v>
      </c>
      <c r="L6" s="654" t="s">
        <v>1032</v>
      </c>
      <c r="M6" s="654" t="s">
        <v>1040</v>
      </c>
      <c r="N6" s="654" t="s">
        <v>1050</v>
      </c>
      <c r="O6" s="654" t="s">
        <v>1104</v>
      </c>
      <c r="P6" s="654" t="s">
        <v>1133</v>
      </c>
      <c r="Q6" s="654" t="s">
        <v>1168</v>
      </c>
      <c r="R6" s="654" t="s">
        <v>1201</v>
      </c>
      <c r="S6" s="654" t="s">
        <v>1261</v>
      </c>
      <c r="T6" s="654" t="s">
        <v>1319</v>
      </c>
      <c r="U6" s="654" t="s">
        <v>1358</v>
      </c>
      <c r="V6" s="654" t="s">
        <v>1390</v>
      </c>
      <c r="W6" s="654" t="s">
        <v>1440</v>
      </c>
      <c r="X6" s="654" t="s">
        <v>1461</v>
      </c>
    </row>
    <row r="7" spans="1:25" ht="28">
      <c r="A7" s="654" t="s">
        <v>973</v>
      </c>
      <c r="B7" s="655" t="s">
        <v>1491</v>
      </c>
      <c r="C7" s="655"/>
      <c r="D7" t="s">
        <v>841</v>
      </c>
      <c r="E7" s="654" t="s">
        <v>915</v>
      </c>
      <c r="F7" s="654" t="s">
        <v>930</v>
      </c>
      <c r="G7" s="654" t="s">
        <v>948</v>
      </c>
      <c r="H7" s="654" t="s">
        <v>960</v>
      </c>
      <c r="I7" s="654" t="s">
        <v>978</v>
      </c>
      <c r="J7" s="654" t="s">
        <v>989</v>
      </c>
      <c r="K7" s="654" t="s">
        <v>1012</v>
      </c>
      <c r="L7" s="654" t="s">
        <v>1033</v>
      </c>
      <c r="M7" s="654" t="s">
        <v>1041</v>
      </c>
      <c r="N7" s="654" t="s">
        <v>1051</v>
      </c>
      <c r="O7" s="654" t="s">
        <v>1105</v>
      </c>
      <c r="P7" s="654" t="s">
        <v>1134</v>
      </c>
      <c r="Q7" s="654" t="s">
        <v>1169</v>
      </c>
      <c r="R7" s="654" t="s">
        <v>1202</v>
      </c>
      <c r="S7" s="654" t="s">
        <v>1262</v>
      </c>
      <c r="T7" s="654" t="s">
        <v>1320</v>
      </c>
      <c r="U7" s="654" t="s">
        <v>1359</v>
      </c>
      <c r="V7" s="654" t="s">
        <v>1391</v>
      </c>
      <c r="W7" s="654" t="s">
        <v>1441</v>
      </c>
      <c r="X7" s="654" t="s">
        <v>1462</v>
      </c>
    </row>
    <row r="8" spans="1:25" ht="28">
      <c r="A8" s="654" t="s">
        <v>984</v>
      </c>
      <c r="B8" s="655" t="s">
        <v>1492</v>
      </c>
      <c r="C8" s="655"/>
      <c r="D8" t="s">
        <v>842</v>
      </c>
      <c r="E8" s="654" t="s">
        <v>916</v>
      </c>
      <c r="F8" s="654" t="s">
        <v>931</v>
      </c>
      <c r="G8" s="654" t="s">
        <v>949</v>
      </c>
      <c r="H8" s="654" t="s">
        <v>961</v>
      </c>
      <c r="I8" s="654" t="s">
        <v>979</v>
      </c>
      <c r="J8" s="654" t="s">
        <v>990</v>
      </c>
      <c r="K8" s="654" t="s">
        <v>1013</v>
      </c>
      <c r="L8" s="654" t="s">
        <v>1034</v>
      </c>
      <c r="M8" s="654" t="s">
        <v>1042</v>
      </c>
      <c r="N8" s="654" t="s">
        <v>1052</v>
      </c>
      <c r="O8" s="654" t="s">
        <v>1106</v>
      </c>
      <c r="P8" s="654" t="s">
        <v>1135</v>
      </c>
      <c r="Q8" s="654" t="s">
        <v>1170</v>
      </c>
      <c r="R8" s="654" t="s">
        <v>1203</v>
      </c>
      <c r="S8" s="654" t="s">
        <v>1263</v>
      </c>
      <c r="T8" s="654" t="s">
        <v>1321</v>
      </c>
      <c r="U8" s="654" t="s">
        <v>1360</v>
      </c>
      <c r="V8" s="654" t="s">
        <v>1392</v>
      </c>
      <c r="W8" s="654" t="s">
        <v>1442</v>
      </c>
      <c r="X8" s="654" t="s">
        <v>1463</v>
      </c>
    </row>
    <row r="9" spans="1:25" ht="28">
      <c r="A9" s="654" t="s">
        <v>1007</v>
      </c>
      <c r="B9" s="655" t="s">
        <v>1493</v>
      </c>
      <c r="C9" s="655"/>
      <c r="D9" t="s">
        <v>843</v>
      </c>
      <c r="E9" s="654" t="s">
        <v>917</v>
      </c>
      <c r="F9" s="654" t="s">
        <v>932</v>
      </c>
      <c r="G9" s="654" t="s">
        <v>950</v>
      </c>
      <c r="H9" s="654" t="s">
        <v>962</v>
      </c>
      <c r="I9" s="654" t="s">
        <v>980</v>
      </c>
      <c r="J9" s="654" t="s">
        <v>991</v>
      </c>
      <c r="K9" s="654" t="s">
        <v>1014</v>
      </c>
      <c r="L9" s="654" t="s">
        <v>1035</v>
      </c>
      <c r="M9" s="654" t="s">
        <v>1043</v>
      </c>
      <c r="N9" s="654" t="s">
        <v>1053</v>
      </c>
      <c r="O9" s="654" t="s">
        <v>1107</v>
      </c>
      <c r="P9" s="654" t="s">
        <v>1136</v>
      </c>
      <c r="Q9" s="654" t="s">
        <v>1171</v>
      </c>
      <c r="R9" s="654" t="s">
        <v>1204</v>
      </c>
      <c r="S9" s="654" t="s">
        <v>1264</v>
      </c>
      <c r="T9" s="654" t="s">
        <v>1322</v>
      </c>
      <c r="U9" s="654" t="s">
        <v>1361</v>
      </c>
      <c r="V9" s="654" t="s">
        <v>1393</v>
      </c>
      <c r="W9" s="654" t="s">
        <v>1443</v>
      </c>
      <c r="X9" s="654" t="s">
        <v>1464</v>
      </c>
    </row>
    <row r="10" spans="1:25" ht="28">
      <c r="A10" s="654" t="s">
        <v>1028</v>
      </c>
      <c r="B10" s="655" t="s">
        <v>1494</v>
      </c>
      <c r="C10" s="655"/>
      <c r="D10" t="s">
        <v>844</v>
      </c>
      <c r="E10" s="654" t="s">
        <v>918</v>
      </c>
      <c r="F10" s="654" t="s">
        <v>933</v>
      </c>
      <c r="G10" s="654" t="s">
        <v>951</v>
      </c>
      <c r="H10" s="654" t="s">
        <v>963</v>
      </c>
      <c r="I10" s="654" t="s">
        <v>981</v>
      </c>
      <c r="J10" s="654" t="s">
        <v>992</v>
      </c>
      <c r="K10" s="654" t="s">
        <v>1015</v>
      </c>
      <c r="M10" s="654" t="s">
        <v>1044</v>
      </c>
      <c r="N10" s="654" t="s">
        <v>1054</v>
      </c>
      <c r="O10" s="654" t="s">
        <v>1108</v>
      </c>
      <c r="P10" s="654" t="s">
        <v>1137</v>
      </c>
      <c r="Q10" s="654" t="s">
        <v>1172</v>
      </c>
      <c r="R10" s="654" t="s">
        <v>1205</v>
      </c>
      <c r="S10" s="654" t="s">
        <v>1265</v>
      </c>
      <c r="T10" s="654" t="s">
        <v>1323</v>
      </c>
      <c r="U10" s="654" t="s">
        <v>1362</v>
      </c>
      <c r="V10" s="654" t="s">
        <v>1394</v>
      </c>
      <c r="W10" s="654" t="s">
        <v>1444</v>
      </c>
      <c r="X10" s="654" t="s">
        <v>1465</v>
      </c>
    </row>
    <row r="11" spans="1:25" ht="42">
      <c r="A11" s="654" t="s">
        <v>1036</v>
      </c>
      <c r="B11" s="655" t="s">
        <v>1495</v>
      </c>
      <c r="C11" s="655"/>
      <c r="D11" t="s">
        <v>845</v>
      </c>
      <c r="E11" s="654" t="s">
        <v>919</v>
      </c>
      <c r="F11" s="654" t="s">
        <v>934</v>
      </c>
      <c r="G11" s="654" t="s">
        <v>952</v>
      </c>
      <c r="H11" s="654" t="s">
        <v>964</v>
      </c>
      <c r="I11" s="654" t="s">
        <v>982</v>
      </c>
      <c r="J11" s="654" t="s">
        <v>993</v>
      </c>
      <c r="K11" s="654" t="s">
        <v>1016</v>
      </c>
      <c r="M11" s="654" t="s">
        <v>1045</v>
      </c>
      <c r="N11" s="654" t="s">
        <v>1055</v>
      </c>
      <c r="O11" s="654" t="s">
        <v>1109</v>
      </c>
      <c r="P11" s="654" t="s">
        <v>1138</v>
      </c>
      <c r="Q11" s="654" t="s">
        <v>1173</v>
      </c>
      <c r="R11" s="654" t="s">
        <v>1206</v>
      </c>
      <c r="S11" s="654" t="s">
        <v>1266</v>
      </c>
      <c r="T11" s="654" t="s">
        <v>1324</v>
      </c>
      <c r="U11" s="654" t="s">
        <v>1363</v>
      </c>
      <c r="V11" s="654" t="s">
        <v>1395</v>
      </c>
      <c r="W11" s="654" t="s">
        <v>1445</v>
      </c>
      <c r="X11" s="654" t="s">
        <v>1466</v>
      </c>
    </row>
    <row r="12" spans="1:25" ht="42">
      <c r="A12" s="654" t="s">
        <v>1046</v>
      </c>
      <c r="B12" s="655" t="s">
        <v>1496</v>
      </c>
      <c r="C12" s="655"/>
      <c r="D12" t="s">
        <v>846</v>
      </c>
      <c r="E12" s="654" t="s">
        <v>920</v>
      </c>
      <c r="F12" s="654" t="s">
        <v>935</v>
      </c>
      <c r="G12" s="654" t="s">
        <v>953</v>
      </c>
      <c r="H12" s="654" t="s">
        <v>965</v>
      </c>
      <c r="I12" s="654" t="s">
        <v>983</v>
      </c>
      <c r="J12" s="654" t="s">
        <v>994</v>
      </c>
      <c r="K12" s="654" t="s">
        <v>1017</v>
      </c>
      <c r="N12" s="654" t="s">
        <v>1056</v>
      </c>
      <c r="O12" s="654" t="s">
        <v>1110</v>
      </c>
      <c r="P12" s="654" t="s">
        <v>1139</v>
      </c>
      <c r="Q12" s="654" t="s">
        <v>1174</v>
      </c>
      <c r="R12" s="654" t="s">
        <v>1207</v>
      </c>
      <c r="S12" s="654" t="s">
        <v>1267</v>
      </c>
      <c r="T12" s="654" t="s">
        <v>1325</v>
      </c>
      <c r="U12" s="654" t="s">
        <v>1364</v>
      </c>
      <c r="V12" s="654" t="s">
        <v>1396</v>
      </c>
      <c r="W12" s="654" t="s">
        <v>1446</v>
      </c>
      <c r="X12" s="654" t="s">
        <v>1467</v>
      </c>
    </row>
    <row r="13" spans="1:25" ht="28">
      <c r="A13" s="654" t="s">
        <v>1100</v>
      </c>
      <c r="B13" s="655" t="s">
        <v>1497</v>
      </c>
      <c r="C13" s="655"/>
      <c r="D13" t="s">
        <v>847</v>
      </c>
      <c r="E13" s="654" t="s">
        <v>921</v>
      </c>
      <c r="F13" s="654" t="s">
        <v>936</v>
      </c>
      <c r="G13" s="654" t="s">
        <v>954</v>
      </c>
      <c r="H13" s="654" t="s">
        <v>966</v>
      </c>
      <c r="J13" s="654" t="s">
        <v>995</v>
      </c>
      <c r="K13" s="654" t="s">
        <v>1018</v>
      </c>
      <c r="N13" s="654" t="s">
        <v>1057</v>
      </c>
      <c r="O13" s="654" t="s">
        <v>1111</v>
      </c>
      <c r="P13" s="654" t="s">
        <v>1140</v>
      </c>
      <c r="Q13" s="654" t="s">
        <v>1175</v>
      </c>
      <c r="R13" s="654" t="s">
        <v>1208</v>
      </c>
      <c r="S13" s="654" t="s">
        <v>1268</v>
      </c>
      <c r="T13" s="654" t="s">
        <v>1326</v>
      </c>
      <c r="U13" s="657" t="s">
        <v>1365</v>
      </c>
      <c r="V13" s="654" t="s">
        <v>1397</v>
      </c>
      <c r="W13" s="654" t="s">
        <v>1447</v>
      </c>
      <c r="X13" s="654" t="s">
        <v>1468</v>
      </c>
    </row>
    <row r="14" spans="1:25" ht="28">
      <c r="A14" s="654" t="s">
        <v>1129</v>
      </c>
      <c r="B14" s="655" t="s">
        <v>1498</v>
      </c>
      <c r="C14" s="655"/>
      <c r="D14" t="s">
        <v>848</v>
      </c>
      <c r="E14" s="654" t="s">
        <v>922</v>
      </c>
      <c r="F14" s="654" t="s">
        <v>937</v>
      </c>
      <c r="H14" s="654" t="s">
        <v>967</v>
      </c>
      <c r="J14" s="654" t="s">
        <v>996</v>
      </c>
      <c r="K14" s="654" t="s">
        <v>1019</v>
      </c>
      <c r="N14" s="654" t="s">
        <v>1058</v>
      </c>
      <c r="O14" s="654" t="s">
        <v>1112</v>
      </c>
      <c r="P14" s="654" t="s">
        <v>1141</v>
      </c>
      <c r="Q14" s="654" t="s">
        <v>1176</v>
      </c>
      <c r="R14" s="654" t="s">
        <v>1209</v>
      </c>
      <c r="S14" s="654" t="s">
        <v>1269</v>
      </c>
      <c r="T14" s="654" t="s">
        <v>1327</v>
      </c>
      <c r="U14" s="657" t="s">
        <v>1366</v>
      </c>
      <c r="V14" s="654" t="s">
        <v>1398</v>
      </c>
      <c r="W14" s="654" t="s">
        <v>1448</v>
      </c>
      <c r="X14" s="654" t="s">
        <v>1469</v>
      </c>
    </row>
    <row r="15" spans="1:25" ht="28">
      <c r="A15" s="654" t="s">
        <v>1164</v>
      </c>
      <c r="B15" s="655" t="s">
        <v>1499</v>
      </c>
      <c r="C15" s="655"/>
      <c r="D15" t="s">
        <v>849</v>
      </c>
      <c r="E15" s="654" t="s">
        <v>923</v>
      </c>
      <c r="F15" s="654" t="s">
        <v>938</v>
      </c>
      <c r="H15" s="654" t="s">
        <v>968</v>
      </c>
      <c r="J15" s="654" t="s">
        <v>997</v>
      </c>
      <c r="K15" s="654" t="s">
        <v>1020</v>
      </c>
      <c r="N15" s="654" t="s">
        <v>1059</v>
      </c>
      <c r="O15" s="654" t="s">
        <v>1113</v>
      </c>
      <c r="P15" s="654" t="s">
        <v>1142</v>
      </c>
      <c r="Q15" s="654" t="s">
        <v>1177</v>
      </c>
      <c r="R15" s="654" t="s">
        <v>1210</v>
      </c>
      <c r="S15" s="654" t="s">
        <v>1270</v>
      </c>
      <c r="T15" s="654" t="s">
        <v>1328</v>
      </c>
      <c r="U15" s="654" t="s">
        <v>1367</v>
      </c>
      <c r="V15" s="654" t="s">
        <v>1399</v>
      </c>
      <c r="W15" s="654" t="s">
        <v>1449</v>
      </c>
      <c r="X15" s="654" t="s">
        <v>1470</v>
      </c>
    </row>
    <row r="16" spans="1:25" ht="28">
      <c r="A16" s="654" t="s">
        <v>1197</v>
      </c>
      <c r="B16" s="655" t="s">
        <v>1500</v>
      </c>
      <c r="C16" s="655"/>
      <c r="D16" t="s">
        <v>850</v>
      </c>
      <c r="E16" s="654" t="s">
        <v>924</v>
      </c>
      <c r="F16" s="654" t="s">
        <v>939</v>
      </c>
      <c r="H16" s="654" t="s">
        <v>969</v>
      </c>
      <c r="J16" s="654" t="s">
        <v>998</v>
      </c>
      <c r="K16" s="654" t="s">
        <v>1021</v>
      </c>
      <c r="N16" s="657" t="s">
        <v>1060</v>
      </c>
      <c r="O16" s="654" t="s">
        <v>1114</v>
      </c>
      <c r="P16" s="654" t="s">
        <v>1143</v>
      </c>
      <c r="Q16" s="654" t="s">
        <v>1178</v>
      </c>
      <c r="R16" s="654" t="s">
        <v>1211</v>
      </c>
      <c r="S16" s="654" t="s">
        <v>1271</v>
      </c>
      <c r="T16" s="654" t="s">
        <v>1329</v>
      </c>
      <c r="U16" s="654" t="s">
        <v>1368</v>
      </c>
      <c r="V16" s="654" t="s">
        <v>1400</v>
      </c>
      <c r="W16" s="654" t="s">
        <v>1450</v>
      </c>
      <c r="X16" s="654" t="s">
        <v>1471</v>
      </c>
    </row>
    <row r="17" spans="1:24" ht="28">
      <c r="A17" s="654" t="s">
        <v>1257</v>
      </c>
      <c r="B17" s="655" t="s">
        <v>1501</v>
      </c>
      <c r="C17" s="655"/>
      <c r="D17" t="s">
        <v>851</v>
      </c>
      <c r="F17" s="654" t="s">
        <v>940</v>
      </c>
      <c r="H17" s="654" t="s">
        <v>970</v>
      </c>
      <c r="J17" s="654" t="s">
        <v>999</v>
      </c>
      <c r="K17" s="654" t="s">
        <v>1022</v>
      </c>
      <c r="N17" s="654" t="s">
        <v>1061</v>
      </c>
      <c r="O17" s="654" t="s">
        <v>1115</v>
      </c>
      <c r="P17" s="654" t="s">
        <v>1144</v>
      </c>
      <c r="Q17" s="654" t="s">
        <v>1179</v>
      </c>
      <c r="R17" s="654" t="s">
        <v>1212</v>
      </c>
      <c r="S17" s="654" t="s">
        <v>1272</v>
      </c>
      <c r="T17" s="654" t="s">
        <v>1330</v>
      </c>
      <c r="U17" s="654" t="s">
        <v>1369</v>
      </c>
      <c r="V17" s="654" t="s">
        <v>1401</v>
      </c>
      <c r="W17" s="654" t="s">
        <v>1451</v>
      </c>
      <c r="X17" s="654" t="s">
        <v>1472</v>
      </c>
    </row>
    <row r="18" spans="1:24" ht="28">
      <c r="A18" s="654" t="s">
        <v>1315</v>
      </c>
      <c r="B18" s="655" t="s">
        <v>1502</v>
      </c>
      <c r="C18" s="655"/>
      <c r="D18" t="s">
        <v>852</v>
      </c>
      <c r="F18" s="654" t="s">
        <v>941</v>
      </c>
      <c r="H18" s="654" t="s">
        <v>971</v>
      </c>
      <c r="J18" s="654" t="s">
        <v>1000</v>
      </c>
      <c r="K18" s="654" t="s">
        <v>1023</v>
      </c>
      <c r="N18" s="654" t="s">
        <v>1062</v>
      </c>
      <c r="O18" s="654" t="s">
        <v>1116</v>
      </c>
      <c r="P18" s="654" t="s">
        <v>1145</v>
      </c>
      <c r="Q18" s="654" t="s">
        <v>1180</v>
      </c>
      <c r="R18" s="654" t="s">
        <v>1213</v>
      </c>
      <c r="S18" s="654" t="s">
        <v>1273</v>
      </c>
      <c r="T18" s="654" t="s">
        <v>1331</v>
      </c>
      <c r="U18" s="654" t="s">
        <v>1370</v>
      </c>
      <c r="V18" s="654" t="s">
        <v>1402</v>
      </c>
      <c r="W18" s="654" t="s">
        <v>1452</v>
      </c>
      <c r="X18" s="654" t="s">
        <v>1473</v>
      </c>
    </row>
    <row r="19" spans="1:24" ht="28">
      <c r="A19" s="654" t="s">
        <v>1354</v>
      </c>
      <c r="B19" s="655" t="s">
        <v>1503</v>
      </c>
      <c r="C19" s="655"/>
      <c r="D19" t="s">
        <v>853</v>
      </c>
      <c r="F19" s="654" t="s">
        <v>942</v>
      </c>
      <c r="H19" s="654" t="s">
        <v>972</v>
      </c>
      <c r="J19" s="654" t="s">
        <v>1001</v>
      </c>
      <c r="K19" s="654" t="s">
        <v>1024</v>
      </c>
      <c r="N19" s="654" t="s">
        <v>1063</v>
      </c>
      <c r="O19" s="654" t="s">
        <v>1117</v>
      </c>
      <c r="P19" s="654" t="s">
        <v>1146</v>
      </c>
      <c r="Q19" s="654" t="s">
        <v>1181</v>
      </c>
      <c r="R19" s="654" t="s">
        <v>1214</v>
      </c>
      <c r="S19" s="654" t="s">
        <v>1274</v>
      </c>
      <c r="T19" s="654" t="s">
        <v>1332</v>
      </c>
      <c r="U19" s="654" t="s">
        <v>1371</v>
      </c>
      <c r="V19" s="654" t="s">
        <v>1403</v>
      </c>
      <c r="W19" s="654" t="s">
        <v>1453</v>
      </c>
      <c r="X19" s="654" t="s">
        <v>1474</v>
      </c>
    </row>
    <row r="20" spans="1:24" ht="42">
      <c r="A20" s="654" t="s">
        <v>1386</v>
      </c>
      <c r="B20" s="655" t="s">
        <v>1504</v>
      </c>
      <c r="C20" s="655"/>
      <c r="D20" t="s">
        <v>854</v>
      </c>
      <c r="J20" s="654" t="s">
        <v>1002</v>
      </c>
      <c r="K20" s="654" t="s">
        <v>1025</v>
      </c>
      <c r="N20" s="654" t="s">
        <v>1064</v>
      </c>
      <c r="O20" s="654" t="s">
        <v>1118</v>
      </c>
      <c r="P20" s="654" t="s">
        <v>1147</v>
      </c>
      <c r="Q20" s="654" t="s">
        <v>1182</v>
      </c>
      <c r="R20" s="654" t="s">
        <v>1215</v>
      </c>
      <c r="S20" s="654" t="s">
        <v>1275</v>
      </c>
      <c r="T20" s="654" t="s">
        <v>1333</v>
      </c>
      <c r="U20" s="654" t="s">
        <v>1372</v>
      </c>
      <c r="V20" s="654" t="s">
        <v>1404</v>
      </c>
      <c r="W20" s="654" t="s">
        <v>1454</v>
      </c>
      <c r="X20" s="654" t="s">
        <v>1475</v>
      </c>
    </row>
    <row r="21" spans="1:24" ht="42">
      <c r="A21" s="654" t="s">
        <v>1436</v>
      </c>
      <c r="B21" s="655" t="s">
        <v>1505</v>
      </c>
      <c r="C21" s="655"/>
      <c r="D21" t="s">
        <v>855</v>
      </c>
      <c r="J21" s="654" t="s">
        <v>1003</v>
      </c>
      <c r="K21" s="654" t="s">
        <v>1026</v>
      </c>
      <c r="N21" s="654" t="s">
        <v>1065</v>
      </c>
      <c r="O21" s="654" t="s">
        <v>1119</v>
      </c>
      <c r="P21" s="654" t="s">
        <v>1148</v>
      </c>
      <c r="Q21" s="654" t="s">
        <v>1183</v>
      </c>
      <c r="R21" s="654" t="s">
        <v>1216</v>
      </c>
      <c r="S21" s="654" t="s">
        <v>1276</v>
      </c>
      <c r="T21" s="654" t="s">
        <v>1334</v>
      </c>
      <c r="U21" s="654" t="s">
        <v>1373</v>
      </c>
      <c r="V21" s="654" t="s">
        <v>1405</v>
      </c>
      <c r="W21" s="654" t="s">
        <v>1455</v>
      </c>
      <c r="X21" s="654" t="s">
        <v>1476</v>
      </c>
    </row>
    <row r="22" spans="1:24" ht="28">
      <c r="A22" s="654" t="s">
        <v>1457</v>
      </c>
      <c r="B22" s="655" t="s">
        <v>1506</v>
      </c>
      <c r="C22" s="655"/>
      <c r="D22" t="s">
        <v>856</v>
      </c>
      <c r="J22" s="654" t="s">
        <v>1004</v>
      </c>
      <c r="K22" s="654" t="s">
        <v>1027</v>
      </c>
      <c r="N22" s="654" t="s">
        <v>1066</v>
      </c>
      <c r="O22" s="654" t="s">
        <v>1120</v>
      </c>
      <c r="P22" s="654" t="s">
        <v>1149</v>
      </c>
      <c r="Q22" s="654" t="s">
        <v>1184</v>
      </c>
      <c r="R22" s="654" t="s">
        <v>1217</v>
      </c>
      <c r="S22" s="654" t="s">
        <v>1277</v>
      </c>
      <c r="T22" s="654" t="s">
        <v>1335</v>
      </c>
      <c r="U22" s="654" t="s">
        <v>1374</v>
      </c>
      <c r="V22" s="654" t="s">
        <v>1406</v>
      </c>
      <c r="W22" s="654" t="s">
        <v>1456</v>
      </c>
      <c r="X22" s="654" t="s">
        <v>1477</v>
      </c>
    </row>
    <row r="23" spans="1:24" ht="28">
      <c r="B23" s="655"/>
      <c r="C23" s="655"/>
      <c r="D23" t="s">
        <v>857</v>
      </c>
      <c r="J23" s="654" t="s">
        <v>1005</v>
      </c>
      <c r="N23" s="654" t="s">
        <v>1067</v>
      </c>
      <c r="O23" s="654" t="s">
        <v>1121</v>
      </c>
      <c r="P23" s="654" t="s">
        <v>1150</v>
      </c>
      <c r="Q23" s="654" t="s">
        <v>1185</v>
      </c>
      <c r="R23" s="654" t="s">
        <v>1218</v>
      </c>
      <c r="S23" s="654" t="s">
        <v>1278</v>
      </c>
      <c r="T23" s="654" t="s">
        <v>1336</v>
      </c>
      <c r="U23" s="654" t="s">
        <v>1375</v>
      </c>
      <c r="V23" s="654" t="s">
        <v>1407</v>
      </c>
      <c r="X23" s="654" t="s">
        <v>1478</v>
      </c>
    </row>
    <row r="24" spans="1:24" ht="42">
      <c r="B24" s="655"/>
      <c r="C24" s="655"/>
      <c r="D24" t="s">
        <v>858</v>
      </c>
      <c r="J24" s="654" t="s">
        <v>1006</v>
      </c>
      <c r="N24" s="654" t="s">
        <v>1068</v>
      </c>
      <c r="O24" s="654" t="s">
        <v>1122</v>
      </c>
      <c r="P24" s="654" t="s">
        <v>1151</v>
      </c>
      <c r="Q24" s="654" t="s">
        <v>1186</v>
      </c>
      <c r="R24" s="654" t="s">
        <v>1219</v>
      </c>
      <c r="S24" s="654" t="s">
        <v>1279</v>
      </c>
      <c r="T24" s="654" t="s">
        <v>1337</v>
      </c>
      <c r="U24" s="654" t="s">
        <v>1376</v>
      </c>
      <c r="V24" s="654" t="s">
        <v>1408</v>
      </c>
      <c r="X24" s="654" t="s">
        <v>1479</v>
      </c>
    </row>
    <row r="25" spans="1:24" ht="42">
      <c r="B25" s="655"/>
      <c r="C25" s="655"/>
      <c r="D25" t="s">
        <v>859</v>
      </c>
      <c r="N25" s="654" t="s">
        <v>1069</v>
      </c>
      <c r="O25" s="654" t="s">
        <v>1123</v>
      </c>
      <c r="P25" s="654" t="s">
        <v>1152</v>
      </c>
      <c r="Q25" s="654" t="s">
        <v>1187</v>
      </c>
      <c r="R25" s="654" t="s">
        <v>1220</v>
      </c>
      <c r="S25" s="654" t="s">
        <v>1280</v>
      </c>
      <c r="T25" s="654" t="s">
        <v>1338</v>
      </c>
      <c r="U25" s="654" t="s">
        <v>1377</v>
      </c>
      <c r="V25" s="654" t="s">
        <v>1409</v>
      </c>
      <c r="X25" s="654" t="s">
        <v>1480</v>
      </c>
    </row>
    <row r="26" spans="1:24" ht="42">
      <c r="B26" s="655"/>
      <c r="C26" s="655"/>
      <c r="D26" t="s">
        <v>860</v>
      </c>
      <c r="N26" s="654" t="s">
        <v>1070</v>
      </c>
      <c r="O26" s="654" t="s">
        <v>1124</v>
      </c>
      <c r="P26" s="654" t="s">
        <v>1153</v>
      </c>
      <c r="Q26" s="654" t="s">
        <v>1188</v>
      </c>
      <c r="R26" s="654" t="s">
        <v>1221</v>
      </c>
      <c r="S26" s="654" t="s">
        <v>1281</v>
      </c>
      <c r="T26" s="654" t="s">
        <v>1339</v>
      </c>
      <c r="U26" s="654" t="s">
        <v>1378</v>
      </c>
      <c r="V26" s="654" t="s">
        <v>1410</v>
      </c>
      <c r="X26" s="654" t="s">
        <v>1481</v>
      </c>
    </row>
    <row r="27" spans="1:24" ht="28">
      <c r="B27" s="655"/>
      <c r="C27" s="655"/>
      <c r="D27" t="s">
        <v>861</v>
      </c>
      <c r="N27" s="654" t="s">
        <v>1071</v>
      </c>
      <c r="O27" s="654" t="s">
        <v>1125</v>
      </c>
      <c r="P27" s="654" t="s">
        <v>1154</v>
      </c>
      <c r="Q27" s="654" t="s">
        <v>1189</v>
      </c>
      <c r="R27" s="654" t="s">
        <v>1222</v>
      </c>
      <c r="S27" s="654" t="s">
        <v>1282</v>
      </c>
      <c r="T27" s="654" t="s">
        <v>1340</v>
      </c>
      <c r="U27" s="654" t="s">
        <v>1379</v>
      </c>
      <c r="V27" s="654" t="s">
        <v>1411</v>
      </c>
      <c r="X27" s="654" t="s">
        <v>1482</v>
      </c>
    </row>
    <row r="28" spans="1:24" ht="42">
      <c r="B28" s="655"/>
      <c r="C28" s="655"/>
      <c r="D28" t="s">
        <v>862</v>
      </c>
      <c r="N28" s="654" t="s">
        <v>1072</v>
      </c>
      <c r="O28" s="654" t="s">
        <v>1126</v>
      </c>
      <c r="P28" s="654" t="s">
        <v>1155</v>
      </c>
      <c r="Q28" s="654" t="s">
        <v>1190</v>
      </c>
      <c r="R28" s="654" t="s">
        <v>1223</v>
      </c>
      <c r="S28" s="654" t="s">
        <v>1283</v>
      </c>
      <c r="T28" s="654" t="s">
        <v>1341</v>
      </c>
      <c r="U28" s="654" t="s">
        <v>1380</v>
      </c>
      <c r="V28" s="654" t="s">
        <v>1412</v>
      </c>
      <c r="X28" s="658" t="s">
        <v>133</v>
      </c>
    </row>
    <row r="29" spans="1:24" ht="42">
      <c r="B29" s="655"/>
      <c r="C29" s="655"/>
      <c r="D29" t="s">
        <v>863</v>
      </c>
      <c r="N29" s="654" t="s">
        <v>1073</v>
      </c>
      <c r="O29" s="654" t="s">
        <v>1127</v>
      </c>
      <c r="P29" s="654" t="s">
        <v>1156</v>
      </c>
      <c r="Q29" s="654" t="s">
        <v>1191</v>
      </c>
      <c r="R29" s="654" t="s">
        <v>1224</v>
      </c>
      <c r="S29" s="654" t="s">
        <v>1284</v>
      </c>
      <c r="T29" s="654" t="s">
        <v>1342</v>
      </c>
      <c r="U29" s="654" t="s">
        <v>1381</v>
      </c>
      <c r="V29" s="654" t="s">
        <v>1413</v>
      </c>
    </row>
    <row r="30" spans="1:24" ht="42">
      <c r="B30" s="655"/>
      <c r="C30" s="655"/>
      <c r="D30" t="s">
        <v>864</v>
      </c>
      <c r="N30" s="654" t="s">
        <v>1074</v>
      </c>
      <c r="O30" s="654" t="s">
        <v>1128</v>
      </c>
      <c r="P30" s="654" t="s">
        <v>1157</v>
      </c>
      <c r="Q30" s="654" t="s">
        <v>1192</v>
      </c>
      <c r="R30" s="654" t="s">
        <v>1225</v>
      </c>
      <c r="S30" s="654" t="s">
        <v>1285</v>
      </c>
      <c r="T30" s="654" t="s">
        <v>1343</v>
      </c>
      <c r="U30" s="654" t="s">
        <v>1382</v>
      </c>
      <c r="V30" s="654" t="s">
        <v>1414</v>
      </c>
    </row>
    <row r="31" spans="1:24" ht="42">
      <c r="B31" s="655"/>
      <c r="C31" s="655"/>
      <c r="D31" t="s">
        <v>865</v>
      </c>
      <c r="N31" s="654" t="s">
        <v>1075</v>
      </c>
      <c r="P31" s="654" t="s">
        <v>1158</v>
      </c>
      <c r="Q31" s="654" t="s">
        <v>1193</v>
      </c>
      <c r="R31" s="654" t="s">
        <v>1226</v>
      </c>
      <c r="S31" s="654" t="s">
        <v>1286</v>
      </c>
      <c r="T31" s="654" t="s">
        <v>1344</v>
      </c>
      <c r="U31" s="654" t="s">
        <v>1383</v>
      </c>
      <c r="V31" s="654" t="s">
        <v>1415</v>
      </c>
    </row>
    <row r="32" spans="1:24" ht="28">
      <c r="B32" s="655"/>
      <c r="C32" s="655"/>
      <c r="D32" t="s">
        <v>866</v>
      </c>
      <c r="N32" s="654" t="s">
        <v>1076</v>
      </c>
      <c r="P32" s="654" t="s">
        <v>1159</v>
      </c>
      <c r="Q32" s="654" t="s">
        <v>1194</v>
      </c>
      <c r="R32" s="654" t="s">
        <v>1227</v>
      </c>
      <c r="S32" s="654" t="s">
        <v>1287</v>
      </c>
      <c r="T32" s="654" t="s">
        <v>1345</v>
      </c>
      <c r="U32" s="654" t="s">
        <v>1384</v>
      </c>
      <c r="V32" s="654" t="s">
        <v>1416</v>
      </c>
    </row>
    <row r="33" spans="2:22" ht="28">
      <c r="B33" s="655"/>
      <c r="C33" s="655"/>
      <c r="D33" t="s">
        <v>867</v>
      </c>
      <c r="N33" s="654" t="s">
        <v>1077</v>
      </c>
      <c r="P33" s="654" t="s">
        <v>1160</v>
      </c>
      <c r="Q33" s="654" t="s">
        <v>1195</v>
      </c>
      <c r="R33" s="654" t="s">
        <v>1228</v>
      </c>
      <c r="S33" s="654" t="s">
        <v>1288</v>
      </c>
      <c r="T33" s="654" t="s">
        <v>1346</v>
      </c>
      <c r="U33" s="654" t="s">
        <v>1385</v>
      </c>
      <c r="V33" s="654" t="s">
        <v>1417</v>
      </c>
    </row>
    <row r="34" spans="2:22" ht="28">
      <c r="B34" s="655"/>
      <c r="C34" s="655"/>
      <c r="D34" t="s">
        <v>868</v>
      </c>
      <c r="N34" s="654" t="s">
        <v>1078</v>
      </c>
      <c r="P34" s="654" t="s">
        <v>1161</v>
      </c>
      <c r="Q34" s="654" t="s">
        <v>1196</v>
      </c>
      <c r="R34" s="654" t="s">
        <v>1229</v>
      </c>
      <c r="S34" s="654" t="s">
        <v>1289</v>
      </c>
      <c r="T34" s="654" t="s">
        <v>1347</v>
      </c>
      <c r="V34" s="654" t="s">
        <v>1418</v>
      </c>
    </row>
    <row r="35" spans="2:22" ht="28">
      <c r="B35" s="655"/>
      <c r="C35" s="655"/>
      <c r="D35" t="s">
        <v>869</v>
      </c>
      <c r="N35" s="654" t="s">
        <v>1079</v>
      </c>
      <c r="P35" s="654" t="s">
        <v>1162</v>
      </c>
      <c r="R35" s="654" t="s">
        <v>1230</v>
      </c>
      <c r="S35" s="654" t="s">
        <v>1290</v>
      </c>
      <c r="T35" s="654" t="s">
        <v>1348</v>
      </c>
      <c r="V35" s="654" t="s">
        <v>1419</v>
      </c>
    </row>
    <row r="36" spans="2:22" ht="28">
      <c r="B36" s="655"/>
      <c r="C36" s="655"/>
      <c r="D36" t="s">
        <v>870</v>
      </c>
      <c r="N36" s="654" t="s">
        <v>1080</v>
      </c>
      <c r="P36" s="654" t="s">
        <v>1163</v>
      </c>
      <c r="R36" s="654" t="s">
        <v>1231</v>
      </c>
      <c r="S36" s="654" t="s">
        <v>1291</v>
      </c>
      <c r="T36" s="654" t="s">
        <v>1349</v>
      </c>
      <c r="V36" s="654" t="s">
        <v>1420</v>
      </c>
    </row>
    <row r="37" spans="2:22" ht="28">
      <c r="B37" s="655"/>
      <c r="C37" s="655"/>
      <c r="D37" t="s">
        <v>871</v>
      </c>
      <c r="N37" s="654" t="s">
        <v>1081</v>
      </c>
      <c r="R37" s="654" t="s">
        <v>1232</v>
      </c>
      <c r="S37" s="654" t="s">
        <v>1292</v>
      </c>
      <c r="T37" s="654" t="s">
        <v>1350</v>
      </c>
      <c r="V37" s="654" t="s">
        <v>1421</v>
      </c>
    </row>
    <row r="38" spans="2:22" ht="42">
      <c r="B38" s="655"/>
      <c r="C38" s="655"/>
      <c r="D38" t="s">
        <v>872</v>
      </c>
      <c r="N38" s="654" t="s">
        <v>1082</v>
      </c>
      <c r="R38" s="654" t="s">
        <v>1233</v>
      </c>
      <c r="S38" s="654" t="s">
        <v>1293</v>
      </c>
      <c r="T38" s="654" t="s">
        <v>1351</v>
      </c>
      <c r="V38" s="654" t="s">
        <v>1422</v>
      </c>
    </row>
    <row r="39" spans="2:22" ht="42">
      <c r="B39" s="655"/>
      <c r="C39" s="655"/>
      <c r="D39" t="s">
        <v>873</v>
      </c>
      <c r="N39" s="654" t="s">
        <v>1083</v>
      </c>
      <c r="R39" s="654" t="s">
        <v>1234</v>
      </c>
      <c r="S39" s="654" t="s">
        <v>1294</v>
      </c>
      <c r="T39" s="654" t="s">
        <v>1352</v>
      </c>
      <c r="V39" s="654" t="s">
        <v>1423</v>
      </c>
    </row>
    <row r="40" spans="2:22" ht="28">
      <c r="B40" s="655"/>
      <c r="C40" s="655"/>
      <c r="D40" t="s">
        <v>874</v>
      </c>
      <c r="N40" s="654" t="s">
        <v>1084</v>
      </c>
      <c r="R40" s="654" t="s">
        <v>1235</v>
      </c>
      <c r="S40" s="654" t="s">
        <v>1295</v>
      </c>
      <c r="T40" s="654" t="s">
        <v>1353</v>
      </c>
      <c r="V40" s="654" t="s">
        <v>1424</v>
      </c>
    </row>
    <row r="41" spans="2:22" ht="28">
      <c r="B41" s="655"/>
      <c r="C41" s="655"/>
      <c r="D41" t="s">
        <v>875</v>
      </c>
      <c r="N41" s="654" t="s">
        <v>1085</v>
      </c>
      <c r="R41" s="654" t="s">
        <v>1236</v>
      </c>
      <c r="S41" s="654" t="s">
        <v>1296</v>
      </c>
      <c r="V41" s="654" t="s">
        <v>1425</v>
      </c>
    </row>
    <row r="42" spans="2:22" ht="28">
      <c r="B42" s="655"/>
      <c r="C42" s="655"/>
      <c r="D42" t="s">
        <v>876</v>
      </c>
      <c r="N42" s="654" t="s">
        <v>1086</v>
      </c>
      <c r="R42" s="654" t="s">
        <v>1237</v>
      </c>
      <c r="S42" s="654" t="s">
        <v>1297</v>
      </c>
      <c r="V42" s="654" t="s">
        <v>1426</v>
      </c>
    </row>
    <row r="43" spans="2:22" ht="28">
      <c r="B43" s="655"/>
      <c r="C43" s="655"/>
      <c r="D43" t="s">
        <v>877</v>
      </c>
      <c r="N43" s="654" t="s">
        <v>1087</v>
      </c>
      <c r="R43" s="654" t="s">
        <v>1238</v>
      </c>
      <c r="S43" s="654" t="s">
        <v>1298</v>
      </c>
      <c r="V43" s="654" t="s">
        <v>1427</v>
      </c>
    </row>
    <row r="44" spans="2:22" ht="28">
      <c r="B44" s="655"/>
      <c r="C44" s="655"/>
      <c r="D44" t="s">
        <v>878</v>
      </c>
      <c r="N44" s="654" t="s">
        <v>1088</v>
      </c>
      <c r="R44" s="654" t="s">
        <v>1239</v>
      </c>
      <c r="S44" s="654" t="s">
        <v>1299</v>
      </c>
      <c r="V44" s="654" t="s">
        <v>1428</v>
      </c>
    </row>
    <row r="45" spans="2:22" ht="28">
      <c r="B45" s="655"/>
      <c r="C45" s="655"/>
      <c r="D45" t="s">
        <v>879</v>
      </c>
      <c r="N45" s="654" t="s">
        <v>1089</v>
      </c>
      <c r="R45" s="654" t="s">
        <v>1240</v>
      </c>
      <c r="S45" s="657" t="s">
        <v>1300</v>
      </c>
      <c r="V45" s="654" t="s">
        <v>1429</v>
      </c>
    </row>
    <row r="46" spans="2:22" ht="28">
      <c r="B46" s="655"/>
      <c r="C46" s="655"/>
      <c r="D46" t="s">
        <v>880</v>
      </c>
      <c r="N46" s="654" t="s">
        <v>1090</v>
      </c>
      <c r="R46" s="654" t="s">
        <v>1241</v>
      </c>
      <c r="S46" s="654" t="s">
        <v>1301</v>
      </c>
      <c r="V46" s="654" t="s">
        <v>1430</v>
      </c>
    </row>
    <row r="47" spans="2:22" ht="42">
      <c r="B47" s="655"/>
      <c r="C47" s="655"/>
      <c r="D47" t="s">
        <v>881</v>
      </c>
      <c r="N47" s="654" t="s">
        <v>1091</v>
      </c>
      <c r="R47" s="654" t="s">
        <v>1242</v>
      </c>
      <c r="S47" s="654" t="s">
        <v>1302</v>
      </c>
      <c r="V47" s="654" t="s">
        <v>1431</v>
      </c>
    </row>
    <row r="48" spans="2:22" ht="28">
      <c r="B48" s="655"/>
      <c r="C48" s="655"/>
      <c r="D48" t="s">
        <v>882</v>
      </c>
      <c r="N48" s="654" t="s">
        <v>1092</v>
      </c>
      <c r="R48" s="654" t="s">
        <v>1243</v>
      </c>
      <c r="S48" s="654" t="s">
        <v>1303</v>
      </c>
      <c r="V48" s="654" t="s">
        <v>1432</v>
      </c>
    </row>
    <row r="49" spans="2:22" ht="28">
      <c r="B49" s="655"/>
      <c r="C49" s="655"/>
      <c r="D49" t="s">
        <v>883</v>
      </c>
      <c r="N49" s="654" t="s">
        <v>1093</v>
      </c>
      <c r="R49" s="654" t="s">
        <v>1244</v>
      </c>
      <c r="S49" s="654" t="s">
        <v>1304</v>
      </c>
      <c r="V49" s="654" t="s">
        <v>1433</v>
      </c>
    </row>
    <row r="50" spans="2:22" ht="28">
      <c r="B50" s="655"/>
      <c r="C50" s="655"/>
      <c r="D50" t="s">
        <v>884</v>
      </c>
      <c r="N50" s="654" t="s">
        <v>1094</v>
      </c>
      <c r="R50" s="654" t="s">
        <v>1245</v>
      </c>
      <c r="S50" s="654" t="s">
        <v>1305</v>
      </c>
      <c r="V50" s="654" t="s">
        <v>1434</v>
      </c>
    </row>
    <row r="51" spans="2:22" ht="28">
      <c r="B51" s="655"/>
      <c r="C51" s="655"/>
      <c r="D51" t="s">
        <v>885</v>
      </c>
      <c r="N51" s="654" t="s">
        <v>1095</v>
      </c>
      <c r="R51" s="654" t="s">
        <v>1246</v>
      </c>
      <c r="S51" s="654" t="s">
        <v>1306</v>
      </c>
      <c r="V51" s="654" t="s">
        <v>1435</v>
      </c>
    </row>
    <row r="52" spans="2:22" ht="28">
      <c r="B52" s="655"/>
      <c r="C52" s="655"/>
      <c r="D52" t="s">
        <v>886</v>
      </c>
      <c r="N52" s="654" t="s">
        <v>1096</v>
      </c>
      <c r="R52" s="654" t="s">
        <v>1247</v>
      </c>
      <c r="S52" s="654" t="s">
        <v>1307</v>
      </c>
    </row>
    <row r="53" spans="2:22" ht="28">
      <c r="B53" s="655"/>
      <c r="C53" s="655"/>
      <c r="D53" t="s">
        <v>887</v>
      </c>
      <c r="N53" s="654" t="s">
        <v>1097</v>
      </c>
      <c r="R53" s="654" t="s">
        <v>1248</v>
      </c>
      <c r="S53" s="654" t="s">
        <v>1308</v>
      </c>
    </row>
    <row r="54" spans="2:22" ht="28">
      <c r="B54" s="655"/>
      <c r="C54" s="655"/>
      <c r="D54" t="s">
        <v>888</v>
      </c>
      <c r="N54" s="654" t="s">
        <v>1098</v>
      </c>
      <c r="R54" s="654" t="s">
        <v>1249</v>
      </c>
      <c r="S54" s="654" t="s">
        <v>1309</v>
      </c>
    </row>
    <row r="55" spans="2:22" ht="28">
      <c r="B55" s="655"/>
      <c r="C55" s="655"/>
      <c r="D55" t="s">
        <v>889</v>
      </c>
      <c r="N55" s="654" t="s">
        <v>1099</v>
      </c>
      <c r="R55" s="654" t="s">
        <v>1250</v>
      </c>
      <c r="S55" s="654" t="s">
        <v>1310</v>
      </c>
    </row>
    <row r="56" spans="2:22" ht="28">
      <c r="B56" s="655"/>
      <c r="C56" s="655"/>
      <c r="D56" t="s">
        <v>890</v>
      </c>
      <c r="R56" s="654" t="s">
        <v>1251</v>
      </c>
      <c r="S56" s="654" t="s">
        <v>1311</v>
      </c>
    </row>
    <row r="57" spans="2:22" ht="28">
      <c r="B57" s="655"/>
      <c r="C57" s="655"/>
      <c r="D57" t="s">
        <v>891</v>
      </c>
      <c r="R57" s="654" t="s">
        <v>1252</v>
      </c>
      <c r="S57" s="654" t="s">
        <v>1312</v>
      </c>
    </row>
    <row r="58" spans="2:22" ht="28">
      <c r="B58" s="655"/>
      <c r="C58" s="655"/>
      <c r="D58" t="s">
        <v>892</v>
      </c>
      <c r="R58" s="654" t="s">
        <v>1253</v>
      </c>
      <c r="S58" s="654" t="s">
        <v>1313</v>
      </c>
    </row>
    <row r="59" spans="2:22" ht="28">
      <c r="B59" s="655"/>
      <c r="C59" s="655"/>
      <c r="D59" t="s">
        <v>893</v>
      </c>
      <c r="R59" s="654" t="s">
        <v>1254</v>
      </c>
      <c r="S59" s="654" t="s">
        <v>1314</v>
      </c>
    </row>
    <row r="60" spans="2:22" ht="28">
      <c r="B60" s="655"/>
      <c r="C60" s="655"/>
      <c r="D60" t="s">
        <v>894</v>
      </c>
      <c r="R60" s="654" t="s">
        <v>1255</v>
      </c>
    </row>
    <row r="61" spans="2:22" ht="28">
      <c r="B61" s="655"/>
      <c r="C61" s="655"/>
      <c r="D61" t="s">
        <v>895</v>
      </c>
      <c r="R61" s="654" t="s">
        <v>1256</v>
      </c>
    </row>
    <row r="62" spans="2:22">
      <c r="B62" s="655"/>
      <c r="C62" s="655"/>
      <c r="D62" t="s">
        <v>896</v>
      </c>
    </row>
    <row r="63" spans="2:22">
      <c r="B63" s="655"/>
      <c r="C63" s="655"/>
      <c r="D63" t="s">
        <v>897</v>
      </c>
    </row>
    <row r="64" spans="2:22">
      <c r="B64" s="655"/>
      <c r="C64" s="655"/>
      <c r="D64" t="s">
        <v>898</v>
      </c>
    </row>
    <row r="65" spans="2:4">
      <c r="B65" s="655"/>
      <c r="C65" s="655"/>
      <c r="D65" t="s">
        <v>899</v>
      </c>
    </row>
    <row r="66" spans="2:4">
      <c r="B66" s="655"/>
      <c r="C66" s="655"/>
      <c r="D66" t="s">
        <v>900</v>
      </c>
    </row>
    <row r="67" spans="2:4">
      <c r="B67" s="655"/>
      <c r="C67" s="655"/>
      <c r="D67" t="s">
        <v>901</v>
      </c>
    </row>
    <row r="68" spans="2:4">
      <c r="B68" s="655"/>
      <c r="C68" s="655"/>
      <c r="D68" t="s">
        <v>902</v>
      </c>
    </row>
    <row r="69" spans="2:4">
      <c r="B69" s="655"/>
      <c r="C69" s="655"/>
      <c r="D69" t="s">
        <v>903</v>
      </c>
    </row>
    <row r="70" spans="2:4">
      <c r="B70" s="655"/>
      <c r="C70" s="655"/>
      <c r="D70" t="s">
        <v>904</v>
      </c>
    </row>
    <row r="71" spans="2:4">
      <c r="B71" s="655"/>
      <c r="C71" s="655"/>
      <c r="D71" t="s">
        <v>905</v>
      </c>
    </row>
    <row r="72" spans="2:4">
      <c r="B72" s="655"/>
      <c r="C72" s="655"/>
      <c r="D72" t="s">
        <v>906</v>
      </c>
    </row>
    <row r="73" spans="2:4">
      <c r="B73" s="655"/>
      <c r="C73" s="655"/>
      <c r="D73" t="s">
        <v>907</v>
      </c>
    </row>
    <row r="74" spans="2:4">
      <c r="B74" s="655"/>
      <c r="C74" s="655"/>
      <c r="D74" t="s">
        <v>908</v>
      </c>
    </row>
    <row r="75" spans="2:4">
      <c r="B75" s="655"/>
      <c r="C75" s="655"/>
      <c r="D75" t="s">
        <v>909</v>
      </c>
    </row>
    <row r="76" spans="2:4">
      <c r="B76" s="655"/>
      <c r="C76" s="655"/>
    </row>
    <row r="77" spans="2:4">
      <c r="B77" s="655"/>
      <c r="C77" s="655"/>
    </row>
    <row r="78" spans="2:4">
      <c r="B78" s="655"/>
      <c r="C78" s="655"/>
    </row>
    <row r="79" spans="2:4">
      <c r="B79" s="655"/>
      <c r="C79" s="655"/>
    </row>
    <row r="80" spans="2:4">
      <c r="B80" s="655"/>
      <c r="C80" s="655"/>
    </row>
    <row r="81" spans="2:3">
      <c r="B81" s="655"/>
      <c r="C81" s="655"/>
    </row>
    <row r="82" spans="2:3">
      <c r="B82" s="655"/>
      <c r="C82" s="655"/>
    </row>
    <row r="83" spans="2:3">
      <c r="B83" s="655"/>
      <c r="C83" s="655"/>
    </row>
    <row r="84" spans="2:3">
      <c r="B84" s="655"/>
      <c r="C84" s="655"/>
    </row>
    <row r="85" spans="2:3">
      <c r="B85" s="655"/>
      <c r="C85" s="655"/>
    </row>
    <row r="86" spans="2:3">
      <c r="B86" s="655"/>
      <c r="C86" s="655"/>
    </row>
    <row r="87" spans="2:3">
      <c r="B87" s="655"/>
      <c r="C87" s="655"/>
    </row>
    <row r="88" spans="2:3">
      <c r="B88" s="655"/>
      <c r="C88" s="655"/>
    </row>
    <row r="89" spans="2:3">
      <c r="B89" s="655"/>
      <c r="C89" s="655"/>
    </row>
    <row r="90" spans="2:3">
      <c r="B90" s="655"/>
      <c r="C90" s="655"/>
    </row>
    <row r="91" spans="2:3">
      <c r="B91" s="655"/>
      <c r="C91" s="655"/>
    </row>
    <row r="92" spans="2:3">
      <c r="B92" s="655"/>
      <c r="C92" s="655"/>
    </row>
    <row r="93" spans="2:3">
      <c r="B93" s="655"/>
      <c r="C93" s="655"/>
    </row>
    <row r="94" spans="2:3">
      <c r="B94" s="655"/>
      <c r="C94" s="655"/>
    </row>
    <row r="95" spans="2:3">
      <c r="B95" s="655"/>
      <c r="C95" s="655"/>
    </row>
    <row r="96" spans="2:3">
      <c r="B96" s="655"/>
      <c r="C96" s="655"/>
    </row>
    <row r="97" spans="2:3">
      <c r="B97" s="655"/>
      <c r="C97" s="655"/>
    </row>
    <row r="98" spans="2:3">
      <c r="B98" s="655"/>
      <c r="C98" s="655"/>
    </row>
    <row r="99" spans="2:3">
      <c r="B99" s="655"/>
      <c r="C99" s="655"/>
    </row>
    <row r="100" spans="2:3">
      <c r="B100" s="655"/>
      <c r="C100" s="655"/>
    </row>
    <row r="101" spans="2:3">
      <c r="B101" s="655"/>
      <c r="C101" s="655"/>
    </row>
    <row r="102" spans="2:3">
      <c r="B102" s="655"/>
      <c r="C102" s="655"/>
    </row>
    <row r="103" spans="2:3">
      <c r="B103" s="655"/>
      <c r="C103" s="655"/>
    </row>
    <row r="104" spans="2:3">
      <c r="B104" s="655"/>
      <c r="C104" s="655"/>
    </row>
    <row r="105" spans="2:3">
      <c r="B105" s="655"/>
      <c r="C105" s="655"/>
    </row>
    <row r="106" spans="2:3">
      <c r="B106" s="655"/>
      <c r="C106" s="655"/>
    </row>
    <row r="107" spans="2:3">
      <c r="B107" s="655"/>
      <c r="C107" s="655"/>
    </row>
    <row r="108" spans="2:3">
      <c r="B108" s="655"/>
      <c r="C108" s="655"/>
    </row>
    <row r="109" spans="2:3">
      <c r="B109" s="655"/>
      <c r="C109" s="655"/>
    </row>
    <row r="110" spans="2:3">
      <c r="B110" s="655"/>
      <c r="C110" s="655"/>
    </row>
    <row r="111" spans="2:3">
      <c r="B111" s="655"/>
      <c r="C111" s="655"/>
    </row>
    <row r="112" spans="2:3">
      <c r="B112" s="655"/>
      <c r="C112" s="655"/>
    </row>
    <row r="113" spans="2:3">
      <c r="B113" s="655"/>
      <c r="C113" s="655"/>
    </row>
    <row r="114" spans="2:3">
      <c r="B114" s="655"/>
      <c r="C114" s="655"/>
    </row>
    <row r="115" spans="2:3">
      <c r="B115" s="655"/>
      <c r="C115" s="655"/>
    </row>
    <row r="116" spans="2:3">
      <c r="B116" s="655"/>
      <c r="C116" s="655"/>
    </row>
    <row r="117" spans="2:3">
      <c r="B117" s="655"/>
      <c r="C117" s="655"/>
    </row>
    <row r="118" spans="2:3">
      <c r="B118" s="655"/>
      <c r="C118" s="655"/>
    </row>
    <row r="119" spans="2:3">
      <c r="B119" s="655"/>
      <c r="C119" s="655"/>
    </row>
    <row r="120" spans="2:3">
      <c r="B120" s="655"/>
      <c r="C120" s="655"/>
    </row>
    <row r="121" spans="2:3">
      <c r="B121" s="655"/>
      <c r="C121" s="655"/>
    </row>
    <row r="122" spans="2:3">
      <c r="B122" s="655"/>
      <c r="C122" s="655"/>
    </row>
    <row r="123" spans="2:3">
      <c r="B123" s="655"/>
      <c r="C123" s="655"/>
    </row>
    <row r="124" spans="2:3">
      <c r="B124" s="655"/>
      <c r="C124" s="655"/>
    </row>
    <row r="125" spans="2:3">
      <c r="B125" s="655"/>
      <c r="C125" s="655"/>
    </row>
    <row r="126" spans="2:3">
      <c r="B126" s="655"/>
      <c r="C126" s="655"/>
    </row>
    <row r="127" spans="2:3">
      <c r="B127" s="655"/>
      <c r="C127" s="655"/>
    </row>
    <row r="128" spans="2:3">
      <c r="B128" s="655"/>
      <c r="C128" s="655"/>
    </row>
    <row r="129" spans="2:3">
      <c r="B129" s="655"/>
      <c r="C129" s="655"/>
    </row>
    <row r="130" spans="2:3">
      <c r="B130" s="655"/>
      <c r="C130" s="655"/>
    </row>
    <row r="131" spans="2:3">
      <c r="B131" s="655"/>
      <c r="C131" s="655"/>
    </row>
    <row r="132" spans="2:3">
      <c r="B132" s="655"/>
      <c r="C132" s="655"/>
    </row>
    <row r="133" spans="2:3">
      <c r="B133" s="655"/>
      <c r="C133" s="655"/>
    </row>
    <row r="134" spans="2:3">
      <c r="B134" s="655"/>
      <c r="C134" s="655"/>
    </row>
    <row r="135" spans="2:3">
      <c r="B135" s="655"/>
      <c r="C135" s="655"/>
    </row>
    <row r="136" spans="2:3">
      <c r="B136" s="655"/>
      <c r="C136" s="655"/>
    </row>
    <row r="137" spans="2:3">
      <c r="B137" s="655"/>
      <c r="C137" s="655"/>
    </row>
    <row r="138" spans="2:3">
      <c r="B138" s="655"/>
      <c r="C138" s="655"/>
    </row>
    <row r="139" spans="2:3">
      <c r="B139" s="655"/>
      <c r="C139" s="655"/>
    </row>
    <row r="140" spans="2:3">
      <c r="B140" s="655"/>
      <c r="C140" s="655"/>
    </row>
    <row r="141" spans="2:3">
      <c r="B141" s="655"/>
      <c r="C141" s="655"/>
    </row>
    <row r="142" spans="2:3">
      <c r="B142" s="655"/>
      <c r="C142" s="655"/>
    </row>
    <row r="143" spans="2:3">
      <c r="B143" s="655"/>
      <c r="C143" s="655"/>
    </row>
    <row r="144" spans="2:3">
      <c r="B144" s="655"/>
      <c r="C144" s="655"/>
    </row>
    <row r="145" spans="2:3">
      <c r="B145" s="655"/>
      <c r="C145" s="655"/>
    </row>
    <row r="146" spans="2:3">
      <c r="B146" s="655"/>
      <c r="C146" s="655"/>
    </row>
    <row r="147" spans="2:3">
      <c r="B147" s="655"/>
      <c r="C147" s="655"/>
    </row>
    <row r="148" spans="2:3">
      <c r="B148" s="655"/>
      <c r="C148" s="655"/>
    </row>
    <row r="149" spans="2:3">
      <c r="B149" s="655"/>
      <c r="C149" s="655"/>
    </row>
    <row r="150" spans="2:3">
      <c r="B150" s="655"/>
      <c r="C150" s="655"/>
    </row>
    <row r="151" spans="2:3">
      <c r="B151" s="655"/>
      <c r="C151" s="655"/>
    </row>
    <row r="152" spans="2:3">
      <c r="B152" s="655"/>
      <c r="C152" s="655"/>
    </row>
    <row r="153" spans="2:3">
      <c r="B153" s="655"/>
      <c r="C153" s="655"/>
    </row>
    <row r="154" spans="2:3">
      <c r="B154" s="655"/>
      <c r="C154" s="655"/>
    </row>
    <row r="155" spans="2:3">
      <c r="B155" s="655"/>
      <c r="C155" s="655"/>
    </row>
    <row r="156" spans="2:3">
      <c r="B156" s="655"/>
      <c r="C156" s="655"/>
    </row>
    <row r="157" spans="2:3">
      <c r="B157" s="655"/>
      <c r="C157" s="655"/>
    </row>
    <row r="158" spans="2:3">
      <c r="B158" s="655"/>
      <c r="C158" s="655"/>
    </row>
    <row r="159" spans="2:3">
      <c r="B159" s="655"/>
      <c r="C159" s="655"/>
    </row>
    <row r="160" spans="2:3">
      <c r="B160" s="655"/>
      <c r="C160" s="655"/>
    </row>
    <row r="161" spans="2:3">
      <c r="B161" s="655"/>
      <c r="C161" s="655"/>
    </row>
    <row r="162" spans="2:3">
      <c r="B162" s="655"/>
      <c r="C162" s="655"/>
    </row>
    <row r="163" spans="2:3">
      <c r="B163" s="655"/>
      <c r="C163" s="655"/>
    </row>
    <row r="164" spans="2:3">
      <c r="B164" s="655"/>
      <c r="C164" s="655"/>
    </row>
    <row r="165" spans="2:3">
      <c r="B165" s="655"/>
      <c r="C165" s="655"/>
    </row>
    <row r="166" spans="2:3">
      <c r="B166" s="655"/>
      <c r="C166" s="655"/>
    </row>
    <row r="167" spans="2:3">
      <c r="B167" s="655"/>
      <c r="C167" s="655"/>
    </row>
    <row r="168" spans="2:3">
      <c r="B168" s="655"/>
      <c r="C168" s="655"/>
    </row>
    <row r="169" spans="2:3">
      <c r="B169" s="655"/>
      <c r="C169" s="655"/>
    </row>
    <row r="170" spans="2:3">
      <c r="B170" s="655"/>
      <c r="C170" s="655"/>
    </row>
    <row r="171" spans="2:3">
      <c r="B171" s="655"/>
      <c r="C171" s="655"/>
    </row>
    <row r="172" spans="2:3">
      <c r="B172" s="655"/>
      <c r="C172" s="655"/>
    </row>
    <row r="173" spans="2:3">
      <c r="B173" s="655"/>
      <c r="C173" s="655"/>
    </row>
    <row r="174" spans="2:3">
      <c r="B174" s="655"/>
      <c r="C174" s="655"/>
    </row>
    <row r="175" spans="2:3">
      <c r="B175" s="655"/>
      <c r="C175" s="655"/>
    </row>
    <row r="176" spans="2:3">
      <c r="B176" s="655"/>
      <c r="C176" s="655"/>
    </row>
    <row r="177" spans="2:3">
      <c r="B177" s="655"/>
      <c r="C177" s="655"/>
    </row>
    <row r="178" spans="2:3">
      <c r="B178" s="655"/>
      <c r="C178" s="655"/>
    </row>
    <row r="179" spans="2:3">
      <c r="B179" s="655"/>
      <c r="C179" s="655"/>
    </row>
    <row r="180" spans="2:3">
      <c r="B180" s="655"/>
      <c r="C180" s="655"/>
    </row>
    <row r="181" spans="2:3">
      <c r="B181" s="655"/>
      <c r="C181" s="655"/>
    </row>
    <row r="182" spans="2:3">
      <c r="B182" s="655"/>
      <c r="C182" s="655"/>
    </row>
    <row r="183" spans="2:3">
      <c r="B183" s="655"/>
      <c r="C183" s="655"/>
    </row>
    <row r="184" spans="2:3">
      <c r="B184" s="655"/>
      <c r="C184" s="655"/>
    </row>
    <row r="185" spans="2:3">
      <c r="B185" s="655"/>
      <c r="C185" s="655"/>
    </row>
    <row r="186" spans="2:3">
      <c r="B186" s="655"/>
      <c r="C186" s="655"/>
    </row>
    <row r="187" spans="2:3">
      <c r="B187" s="655"/>
      <c r="C187" s="655"/>
    </row>
    <row r="188" spans="2:3">
      <c r="B188" s="655"/>
      <c r="C188" s="655"/>
    </row>
    <row r="189" spans="2:3">
      <c r="B189" s="655"/>
      <c r="C189" s="655"/>
    </row>
    <row r="190" spans="2:3">
      <c r="B190" s="655"/>
      <c r="C190" s="655"/>
    </row>
    <row r="191" spans="2:3">
      <c r="B191" s="655"/>
      <c r="C191" s="655"/>
    </row>
    <row r="192" spans="2:3">
      <c r="B192" s="655"/>
      <c r="C192" s="655"/>
    </row>
    <row r="193" spans="2:3">
      <c r="B193" s="655"/>
      <c r="C193" s="655"/>
    </row>
    <row r="194" spans="2:3">
      <c r="B194" s="655"/>
      <c r="C194" s="655"/>
    </row>
    <row r="195" spans="2:3">
      <c r="B195" s="655"/>
      <c r="C195" s="655"/>
    </row>
    <row r="196" spans="2:3">
      <c r="B196" s="655"/>
      <c r="C196" s="655"/>
    </row>
    <row r="197" spans="2:3">
      <c r="B197" s="655"/>
      <c r="C197" s="655"/>
    </row>
    <row r="198" spans="2:3">
      <c r="B198" s="655"/>
      <c r="C198" s="655"/>
    </row>
    <row r="199" spans="2:3">
      <c r="B199" s="655"/>
      <c r="C199" s="655"/>
    </row>
    <row r="200" spans="2:3">
      <c r="B200" s="655"/>
      <c r="C200" s="655"/>
    </row>
    <row r="201" spans="2:3">
      <c r="B201" s="655"/>
      <c r="C201" s="655"/>
    </row>
    <row r="202" spans="2:3">
      <c r="B202" s="655"/>
      <c r="C202" s="655"/>
    </row>
    <row r="203" spans="2:3">
      <c r="B203" s="655"/>
      <c r="C203" s="655"/>
    </row>
    <row r="204" spans="2:3">
      <c r="B204" s="655"/>
      <c r="C204" s="655"/>
    </row>
    <row r="205" spans="2:3">
      <c r="B205" s="655"/>
      <c r="C205" s="655"/>
    </row>
    <row r="206" spans="2:3">
      <c r="B206" s="655"/>
      <c r="C206" s="655"/>
    </row>
    <row r="207" spans="2:3">
      <c r="B207" s="655"/>
      <c r="C207" s="655"/>
    </row>
    <row r="208" spans="2:3">
      <c r="B208" s="655"/>
      <c r="C208" s="655"/>
    </row>
    <row r="209" spans="2:3">
      <c r="B209" s="655"/>
      <c r="C209" s="655"/>
    </row>
    <row r="210" spans="2:3">
      <c r="B210" s="655"/>
      <c r="C210" s="655"/>
    </row>
    <row r="211" spans="2:3">
      <c r="B211" s="655"/>
      <c r="C211" s="655"/>
    </row>
    <row r="212" spans="2:3">
      <c r="B212" s="655"/>
      <c r="C212" s="655"/>
    </row>
    <row r="213" spans="2:3">
      <c r="B213" s="655"/>
      <c r="C213" s="655"/>
    </row>
    <row r="214" spans="2:3">
      <c r="B214" s="655"/>
      <c r="C214" s="655"/>
    </row>
    <row r="215" spans="2:3">
      <c r="B215" s="655"/>
      <c r="C215" s="655"/>
    </row>
    <row r="216" spans="2:3">
      <c r="B216" s="655"/>
      <c r="C216" s="655"/>
    </row>
    <row r="217" spans="2:3">
      <c r="B217" s="655"/>
      <c r="C217" s="655"/>
    </row>
    <row r="218" spans="2:3">
      <c r="B218" s="655"/>
      <c r="C218" s="655"/>
    </row>
    <row r="219" spans="2:3">
      <c r="B219" s="655"/>
      <c r="C219" s="655"/>
    </row>
    <row r="220" spans="2:3">
      <c r="B220" s="655"/>
      <c r="C220" s="655"/>
    </row>
    <row r="221" spans="2:3">
      <c r="B221" s="655"/>
      <c r="C221" s="655"/>
    </row>
    <row r="222" spans="2:3">
      <c r="B222" s="655"/>
      <c r="C222" s="655"/>
    </row>
    <row r="223" spans="2:3">
      <c r="B223" s="655"/>
      <c r="C223" s="655"/>
    </row>
    <row r="224" spans="2:3">
      <c r="B224" s="655"/>
      <c r="C224" s="655"/>
    </row>
    <row r="225" spans="2:3">
      <c r="B225" s="655"/>
      <c r="C225" s="655"/>
    </row>
    <row r="226" spans="2:3">
      <c r="B226" s="655"/>
      <c r="C226" s="655"/>
    </row>
    <row r="227" spans="2:3">
      <c r="B227" s="655"/>
      <c r="C227" s="655"/>
    </row>
    <row r="228" spans="2:3">
      <c r="B228" s="655"/>
      <c r="C228" s="655"/>
    </row>
    <row r="229" spans="2:3">
      <c r="B229" s="655"/>
      <c r="C229" s="655"/>
    </row>
    <row r="230" spans="2:3">
      <c r="B230" s="655"/>
      <c r="C230" s="655"/>
    </row>
    <row r="231" spans="2:3">
      <c r="B231" s="655"/>
      <c r="C231" s="655"/>
    </row>
    <row r="232" spans="2:3">
      <c r="B232" s="655"/>
      <c r="C232" s="655"/>
    </row>
    <row r="233" spans="2:3">
      <c r="B233" s="655"/>
      <c r="C233" s="655"/>
    </row>
    <row r="234" spans="2:3">
      <c r="B234" s="655"/>
      <c r="C234" s="655"/>
    </row>
    <row r="235" spans="2:3">
      <c r="B235" s="655"/>
      <c r="C235" s="655"/>
    </row>
    <row r="236" spans="2:3">
      <c r="B236" s="655"/>
      <c r="C236" s="655"/>
    </row>
    <row r="237" spans="2:3">
      <c r="B237" s="655"/>
      <c r="C237" s="655"/>
    </row>
    <row r="238" spans="2:3">
      <c r="B238" s="655"/>
      <c r="C238" s="655"/>
    </row>
    <row r="239" spans="2:3">
      <c r="B239" s="655"/>
      <c r="C239" s="655"/>
    </row>
    <row r="240" spans="2:3">
      <c r="B240" s="655"/>
      <c r="C240" s="655"/>
    </row>
    <row r="241" spans="2:3">
      <c r="B241" s="655"/>
      <c r="C241" s="655"/>
    </row>
    <row r="242" spans="2:3">
      <c r="B242" s="655"/>
      <c r="C242" s="655"/>
    </row>
    <row r="243" spans="2:3">
      <c r="B243" s="655"/>
      <c r="C243" s="655"/>
    </row>
    <row r="244" spans="2:3">
      <c r="B244" s="655"/>
      <c r="C244" s="655"/>
    </row>
    <row r="245" spans="2:3">
      <c r="B245" s="655"/>
      <c r="C245" s="655"/>
    </row>
    <row r="246" spans="2:3">
      <c r="B246" s="655"/>
      <c r="C246" s="655"/>
    </row>
    <row r="247" spans="2:3">
      <c r="B247" s="655"/>
      <c r="C247" s="655"/>
    </row>
    <row r="248" spans="2:3">
      <c r="B248" s="655"/>
      <c r="C248" s="655"/>
    </row>
    <row r="249" spans="2:3">
      <c r="B249" s="655"/>
      <c r="C249" s="655"/>
    </row>
    <row r="250" spans="2:3">
      <c r="B250" s="655"/>
      <c r="C250" s="655"/>
    </row>
    <row r="251" spans="2:3">
      <c r="B251" s="655"/>
      <c r="C251" s="655"/>
    </row>
    <row r="252" spans="2:3">
      <c r="B252" s="655"/>
      <c r="C252" s="655"/>
    </row>
    <row r="253" spans="2:3">
      <c r="B253" s="655"/>
      <c r="C253" s="655"/>
    </row>
    <row r="254" spans="2:3">
      <c r="B254" s="655"/>
      <c r="C254" s="655"/>
    </row>
    <row r="255" spans="2:3">
      <c r="B255" s="655"/>
      <c r="C255" s="655"/>
    </row>
    <row r="256" spans="2:3">
      <c r="B256" s="655"/>
      <c r="C256" s="655"/>
    </row>
    <row r="257" spans="2:3">
      <c r="B257" s="655"/>
      <c r="C257" s="655"/>
    </row>
    <row r="258" spans="2:3">
      <c r="B258" s="655"/>
      <c r="C258" s="655"/>
    </row>
    <row r="259" spans="2:3">
      <c r="B259" s="655"/>
      <c r="C259" s="655"/>
    </row>
    <row r="260" spans="2:3">
      <c r="B260" s="655"/>
      <c r="C260" s="655"/>
    </row>
    <row r="261" spans="2:3">
      <c r="B261" s="655"/>
      <c r="C261" s="655"/>
    </row>
    <row r="262" spans="2:3">
      <c r="B262" s="655"/>
      <c r="C262" s="655"/>
    </row>
    <row r="263" spans="2:3">
      <c r="B263" s="655"/>
      <c r="C263" s="655"/>
    </row>
    <row r="264" spans="2:3">
      <c r="B264" s="655"/>
      <c r="C264" s="655"/>
    </row>
    <row r="265" spans="2:3">
      <c r="B265" s="655"/>
      <c r="C265" s="655"/>
    </row>
    <row r="266" spans="2:3">
      <c r="B266" s="655"/>
      <c r="C266" s="655"/>
    </row>
    <row r="267" spans="2:3">
      <c r="B267" s="655"/>
      <c r="C267" s="655"/>
    </row>
    <row r="268" spans="2:3">
      <c r="B268" s="655"/>
      <c r="C268" s="655"/>
    </row>
    <row r="269" spans="2:3">
      <c r="B269" s="655"/>
      <c r="C269" s="655"/>
    </row>
    <row r="270" spans="2:3">
      <c r="B270" s="655"/>
      <c r="C270" s="655"/>
    </row>
    <row r="271" spans="2:3">
      <c r="B271" s="655"/>
      <c r="C271" s="655"/>
    </row>
    <row r="272" spans="2:3">
      <c r="B272" s="655"/>
      <c r="C272" s="655"/>
    </row>
    <row r="273" spans="2:3">
      <c r="B273" s="655"/>
      <c r="C273" s="655"/>
    </row>
    <row r="274" spans="2:3">
      <c r="B274" s="655"/>
      <c r="C274" s="655"/>
    </row>
    <row r="275" spans="2:3">
      <c r="B275" s="655"/>
      <c r="C275" s="655"/>
    </row>
    <row r="276" spans="2:3">
      <c r="B276" s="655"/>
      <c r="C276" s="655"/>
    </row>
    <row r="277" spans="2:3">
      <c r="B277" s="655"/>
      <c r="C277" s="655"/>
    </row>
    <row r="278" spans="2:3">
      <c r="B278" s="655"/>
      <c r="C278" s="655"/>
    </row>
    <row r="279" spans="2:3">
      <c r="B279" s="655"/>
      <c r="C279" s="655"/>
    </row>
    <row r="280" spans="2:3">
      <c r="B280" s="655"/>
      <c r="C280" s="655"/>
    </row>
    <row r="281" spans="2:3">
      <c r="B281" s="655"/>
      <c r="C281" s="655"/>
    </row>
    <row r="282" spans="2:3">
      <c r="B282" s="655"/>
      <c r="C282" s="655"/>
    </row>
    <row r="283" spans="2:3">
      <c r="B283" s="655"/>
      <c r="C283" s="655"/>
    </row>
    <row r="284" spans="2:3">
      <c r="B284" s="655"/>
      <c r="C284" s="655"/>
    </row>
    <row r="285" spans="2:3">
      <c r="B285" s="655"/>
      <c r="C285" s="655"/>
    </row>
    <row r="286" spans="2:3">
      <c r="B286" s="655"/>
      <c r="C286" s="655"/>
    </row>
    <row r="287" spans="2:3">
      <c r="B287" s="655"/>
      <c r="C287" s="655"/>
    </row>
    <row r="288" spans="2:3">
      <c r="B288" s="655"/>
      <c r="C288" s="655"/>
    </row>
    <row r="289" spans="2:3">
      <c r="B289" s="655"/>
      <c r="C289" s="655"/>
    </row>
    <row r="290" spans="2:3">
      <c r="B290" s="655"/>
      <c r="C290" s="655"/>
    </row>
    <row r="291" spans="2:3">
      <c r="B291" s="655"/>
      <c r="C291" s="655"/>
    </row>
    <row r="292" spans="2:3">
      <c r="B292" s="655"/>
      <c r="C292" s="655"/>
    </row>
    <row r="293" spans="2:3">
      <c r="B293" s="655"/>
      <c r="C293" s="655"/>
    </row>
    <row r="294" spans="2:3">
      <c r="B294" s="655"/>
      <c r="C294" s="655"/>
    </row>
    <row r="295" spans="2:3">
      <c r="B295" s="655"/>
      <c r="C295" s="655"/>
    </row>
    <row r="296" spans="2:3">
      <c r="B296" s="655"/>
      <c r="C296" s="655"/>
    </row>
    <row r="297" spans="2:3">
      <c r="B297" s="655"/>
      <c r="C297" s="655"/>
    </row>
    <row r="298" spans="2:3">
      <c r="B298" s="655"/>
      <c r="C298" s="655"/>
    </row>
    <row r="299" spans="2:3">
      <c r="B299" s="655"/>
      <c r="C299" s="655"/>
    </row>
    <row r="300" spans="2:3">
      <c r="B300" s="655"/>
      <c r="C300" s="655"/>
    </row>
    <row r="301" spans="2:3">
      <c r="B301" s="655"/>
      <c r="C301" s="655"/>
    </row>
    <row r="302" spans="2:3">
      <c r="B302" s="655"/>
      <c r="C302" s="655"/>
    </row>
    <row r="303" spans="2:3">
      <c r="B303" s="655"/>
      <c r="C303" s="655"/>
    </row>
    <row r="304" spans="2:3">
      <c r="B304" s="655"/>
      <c r="C304" s="655"/>
    </row>
    <row r="305" spans="2:3">
      <c r="B305" s="655"/>
      <c r="C305" s="655"/>
    </row>
    <row r="306" spans="2:3">
      <c r="B306" s="655"/>
      <c r="C306" s="655"/>
    </row>
    <row r="307" spans="2:3">
      <c r="B307" s="655"/>
      <c r="C307" s="655"/>
    </row>
    <row r="308" spans="2:3">
      <c r="B308" s="655"/>
      <c r="C308" s="655"/>
    </row>
    <row r="309" spans="2:3">
      <c r="B309" s="655"/>
      <c r="C309" s="655"/>
    </row>
    <row r="310" spans="2:3">
      <c r="B310" s="655"/>
      <c r="C310" s="655"/>
    </row>
    <row r="311" spans="2:3">
      <c r="B311" s="655"/>
      <c r="C311" s="655"/>
    </row>
    <row r="312" spans="2:3">
      <c r="B312" s="655"/>
      <c r="C312" s="655"/>
    </row>
    <row r="313" spans="2:3">
      <c r="B313" s="655"/>
      <c r="C313" s="655"/>
    </row>
    <row r="314" spans="2:3">
      <c r="B314" s="655"/>
      <c r="C314" s="655"/>
    </row>
    <row r="315" spans="2:3">
      <c r="B315" s="655"/>
      <c r="C315" s="655"/>
    </row>
    <row r="316" spans="2:3">
      <c r="B316" s="655"/>
      <c r="C316" s="655"/>
    </row>
    <row r="317" spans="2:3">
      <c r="B317" s="655"/>
      <c r="C317" s="655"/>
    </row>
    <row r="318" spans="2:3">
      <c r="B318" s="655"/>
      <c r="C318" s="655"/>
    </row>
    <row r="319" spans="2:3">
      <c r="B319" s="655"/>
      <c r="C319" s="655"/>
    </row>
    <row r="320" spans="2:3">
      <c r="B320" s="655"/>
      <c r="C320" s="655"/>
    </row>
    <row r="321" spans="2:3">
      <c r="B321" s="655"/>
      <c r="C321" s="655"/>
    </row>
    <row r="322" spans="2:3">
      <c r="B322" s="655"/>
      <c r="C322" s="655"/>
    </row>
    <row r="323" spans="2:3">
      <c r="B323" s="655"/>
      <c r="C323" s="655"/>
    </row>
    <row r="324" spans="2:3">
      <c r="B324" s="655"/>
      <c r="C324" s="655"/>
    </row>
    <row r="325" spans="2:3">
      <c r="B325" s="655"/>
      <c r="C325" s="655"/>
    </row>
    <row r="326" spans="2:3">
      <c r="B326" s="655"/>
      <c r="C326" s="655"/>
    </row>
    <row r="327" spans="2:3">
      <c r="B327" s="655"/>
      <c r="C327" s="655"/>
    </row>
    <row r="328" spans="2:3">
      <c r="B328" s="655"/>
      <c r="C328" s="655"/>
    </row>
    <row r="329" spans="2:3">
      <c r="B329" s="655"/>
      <c r="C329" s="655"/>
    </row>
    <row r="330" spans="2:3">
      <c r="B330" s="655"/>
      <c r="C330" s="655"/>
    </row>
    <row r="331" spans="2:3">
      <c r="B331" s="655"/>
      <c r="C331" s="655"/>
    </row>
    <row r="332" spans="2:3">
      <c r="B332" s="655"/>
      <c r="C332" s="655"/>
    </row>
    <row r="333" spans="2:3">
      <c r="B333" s="655"/>
      <c r="C333" s="655"/>
    </row>
    <row r="334" spans="2:3">
      <c r="B334" s="655"/>
      <c r="C334" s="655"/>
    </row>
    <row r="335" spans="2:3">
      <c r="B335" s="655"/>
      <c r="C335" s="655"/>
    </row>
    <row r="336" spans="2:3">
      <c r="B336" s="655"/>
      <c r="C336" s="655"/>
    </row>
    <row r="337" spans="2:3">
      <c r="B337" s="655"/>
      <c r="C337" s="655"/>
    </row>
    <row r="338" spans="2:3">
      <c r="B338" s="655"/>
      <c r="C338" s="655"/>
    </row>
    <row r="339" spans="2:3">
      <c r="B339" s="655"/>
      <c r="C339" s="655"/>
    </row>
    <row r="340" spans="2:3">
      <c r="B340" s="655"/>
      <c r="C340" s="655"/>
    </row>
    <row r="341" spans="2:3">
      <c r="B341" s="655"/>
      <c r="C341" s="655"/>
    </row>
    <row r="342" spans="2:3">
      <c r="B342" s="655"/>
      <c r="C342" s="655"/>
    </row>
    <row r="343" spans="2:3">
      <c r="B343" s="655"/>
      <c r="C343" s="655"/>
    </row>
    <row r="344" spans="2:3">
      <c r="B344" s="655"/>
      <c r="C344" s="655"/>
    </row>
    <row r="345" spans="2:3">
      <c r="B345" s="655"/>
      <c r="C345" s="655"/>
    </row>
    <row r="346" spans="2:3">
      <c r="B346" s="655"/>
      <c r="C346" s="655"/>
    </row>
    <row r="347" spans="2:3">
      <c r="B347" s="655"/>
      <c r="C347" s="655"/>
    </row>
    <row r="348" spans="2:3">
      <c r="B348" s="655"/>
      <c r="C348" s="655"/>
    </row>
    <row r="349" spans="2:3">
      <c r="B349" s="655"/>
      <c r="C349" s="655"/>
    </row>
    <row r="350" spans="2:3">
      <c r="B350" s="655"/>
      <c r="C350" s="655"/>
    </row>
    <row r="351" spans="2:3">
      <c r="B351" s="655"/>
      <c r="C351" s="655"/>
    </row>
    <row r="352" spans="2:3">
      <c r="B352" s="655"/>
      <c r="C352" s="655"/>
    </row>
    <row r="353" spans="2:3">
      <c r="B353" s="655"/>
      <c r="C353" s="655"/>
    </row>
    <row r="354" spans="2:3">
      <c r="B354" s="655"/>
      <c r="C354" s="655"/>
    </row>
    <row r="355" spans="2:3">
      <c r="B355" s="655"/>
      <c r="C355" s="655"/>
    </row>
    <row r="356" spans="2:3">
      <c r="B356" s="655"/>
      <c r="C356" s="655"/>
    </row>
    <row r="357" spans="2:3">
      <c r="B357" s="655"/>
      <c r="C357" s="655"/>
    </row>
    <row r="358" spans="2:3">
      <c r="B358" s="655"/>
      <c r="C358" s="655"/>
    </row>
    <row r="359" spans="2:3">
      <c r="B359" s="655"/>
      <c r="C359" s="655"/>
    </row>
    <row r="360" spans="2:3">
      <c r="B360" s="655"/>
      <c r="C360" s="655"/>
    </row>
    <row r="361" spans="2:3">
      <c r="B361" s="655"/>
      <c r="C361" s="655"/>
    </row>
    <row r="362" spans="2:3">
      <c r="B362" s="655"/>
      <c r="C362" s="655"/>
    </row>
    <row r="363" spans="2:3">
      <c r="B363" s="655"/>
      <c r="C363" s="655"/>
    </row>
    <row r="364" spans="2:3">
      <c r="B364" s="655"/>
      <c r="C364" s="655"/>
    </row>
    <row r="365" spans="2:3">
      <c r="B365" s="655"/>
      <c r="C365" s="655"/>
    </row>
    <row r="366" spans="2:3">
      <c r="B366" s="655"/>
      <c r="C366" s="655"/>
    </row>
    <row r="367" spans="2:3">
      <c r="B367" s="655"/>
      <c r="C367" s="655"/>
    </row>
    <row r="368" spans="2:3">
      <c r="B368" s="655"/>
      <c r="C368" s="655"/>
    </row>
    <row r="369" spans="2:3">
      <c r="B369" s="655"/>
      <c r="C369" s="655"/>
    </row>
    <row r="370" spans="2:3">
      <c r="B370" s="655"/>
      <c r="C370" s="655"/>
    </row>
    <row r="371" spans="2:3">
      <c r="B371" s="655"/>
      <c r="C371" s="655"/>
    </row>
    <row r="372" spans="2:3">
      <c r="B372" s="655"/>
      <c r="C372" s="655"/>
    </row>
    <row r="373" spans="2:3">
      <c r="B373" s="655"/>
      <c r="C373" s="655"/>
    </row>
    <row r="374" spans="2:3">
      <c r="B374" s="655"/>
      <c r="C374" s="655"/>
    </row>
    <row r="375" spans="2:3">
      <c r="B375" s="655"/>
      <c r="C375" s="655"/>
    </row>
    <row r="376" spans="2:3">
      <c r="B376" s="655"/>
      <c r="C376" s="655"/>
    </row>
    <row r="377" spans="2:3">
      <c r="B377" s="655"/>
      <c r="C377" s="655"/>
    </row>
    <row r="378" spans="2:3">
      <c r="B378" s="655"/>
      <c r="C378" s="655"/>
    </row>
    <row r="379" spans="2:3">
      <c r="B379" s="655"/>
      <c r="C379" s="655"/>
    </row>
    <row r="380" spans="2:3">
      <c r="B380" s="655"/>
      <c r="C380" s="655"/>
    </row>
    <row r="381" spans="2:3">
      <c r="B381" s="655"/>
      <c r="C381" s="655"/>
    </row>
    <row r="382" spans="2:3">
      <c r="B382" s="655"/>
      <c r="C382" s="655"/>
    </row>
    <row r="383" spans="2:3">
      <c r="B383" s="655"/>
      <c r="C383" s="655"/>
    </row>
    <row r="384" spans="2:3">
      <c r="B384" s="655"/>
      <c r="C384" s="655"/>
    </row>
    <row r="385" spans="2:3">
      <c r="B385" s="655"/>
      <c r="C385" s="655"/>
    </row>
    <row r="386" spans="2:3">
      <c r="B386" s="655"/>
      <c r="C386" s="655"/>
    </row>
    <row r="387" spans="2:3">
      <c r="B387" s="655"/>
      <c r="C387" s="655"/>
    </row>
    <row r="388" spans="2:3">
      <c r="B388" s="655"/>
      <c r="C388" s="655"/>
    </row>
    <row r="389" spans="2:3">
      <c r="B389" s="655"/>
      <c r="C389" s="655"/>
    </row>
    <row r="390" spans="2:3">
      <c r="B390" s="655"/>
      <c r="C390" s="655"/>
    </row>
    <row r="391" spans="2:3">
      <c r="B391" s="655"/>
      <c r="C391" s="655"/>
    </row>
    <row r="392" spans="2:3">
      <c r="B392" s="655"/>
      <c r="C392" s="655"/>
    </row>
    <row r="393" spans="2:3">
      <c r="B393" s="655"/>
      <c r="C393" s="655"/>
    </row>
    <row r="394" spans="2:3">
      <c r="B394" s="655"/>
      <c r="C394" s="655"/>
    </row>
    <row r="395" spans="2:3">
      <c r="B395" s="655"/>
      <c r="C395" s="655"/>
    </row>
    <row r="396" spans="2:3">
      <c r="B396" s="655"/>
      <c r="C396" s="655"/>
    </row>
    <row r="397" spans="2:3">
      <c r="B397" s="655"/>
      <c r="C397" s="655"/>
    </row>
    <row r="398" spans="2:3">
      <c r="B398" s="655"/>
      <c r="C398" s="655"/>
    </row>
    <row r="399" spans="2:3">
      <c r="B399" s="655"/>
      <c r="C399" s="655"/>
    </row>
    <row r="400" spans="2:3">
      <c r="B400" s="655"/>
      <c r="C400" s="655"/>
    </row>
    <row r="401" spans="2:3">
      <c r="B401" s="655"/>
      <c r="C401" s="655"/>
    </row>
    <row r="402" spans="2:3">
      <c r="B402" s="655"/>
      <c r="C402" s="655"/>
    </row>
    <row r="403" spans="2:3">
      <c r="B403" s="655"/>
      <c r="C403" s="655"/>
    </row>
    <row r="404" spans="2:3">
      <c r="B404" s="655"/>
      <c r="C404" s="655"/>
    </row>
    <row r="405" spans="2:3">
      <c r="B405" s="655"/>
      <c r="C405" s="655"/>
    </row>
    <row r="406" spans="2:3">
      <c r="B406" s="655"/>
      <c r="C406" s="655"/>
    </row>
    <row r="407" spans="2:3">
      <c r="B407" s="655"/>
      <c r="C407" s="655"/>
    </row>
    <row r="408" spans="2:3">
      <c r="B408" s="655"/>
      <c r="C408" s="655"/>
    </row>
    <row r="409" spans="2:3">
      <c r="B409" s="655"/>
      <c r="C409" s="655"/>
    </row>
    <row r="410" spans="2:3">
      <c r="B410" s="655"/>
      <c r="C410" s="655"/>
    </row>
    <row r="411" spans="2:3">
      <c r="B411" s="655"/>
      <c r="C411" s="655"/>
    </row>
    <row r="412" spans="2:3">
      <c r="B412" s="655"/>
      <c r="C412" s="655"/>
    </row>
    <row r="413" spans="2:3">
      <c r="B413" s="655"/>
      <c r="C413" s="655"/>
    </row>
    <row r="414" spans="2:3">
      <c r="B414" s="655"/>
      <c r="C414" s="655"/>
    </row>
    <row r="415" spans="2:3">
      <c r="B415" s="655"/>
      <c r="C415" s="655"/>
    </row>
    <row r="416" spans="2:3">
      <c r="B416" s="655"/>
      <c r="C416" s="655"/>
    </row>
    <row r="417" spans="2:3">
      <c r="B417" s="655"/>
      <c r="C417" s="655"/>
    </row>
    <row r="418" spans="2:3">
      <c r="B418" s="655"/>
      <c r="C418" s="655"/>
    </row>
    <row r="419" spans="2:3">
      <c r="B419" s="655"/>
      <c r="C419" s="655"/>
    </row>
    <row r="420" spans="2:3">
      <c r="B420" s="655"/>
      <c r="C420" s="655"/>
    </row>
    <row r="421" spans="2:3">
      <c r="B421" s="655"/>
      <c r="C421" s="655"/>
    </row>
    <row r="422" spans="2:3">
      <c r="B422" s="655"/>
      <c r="C422" s="655"/>
    </row>
    <row r="423" spans="2:3">
      <c r="B423" s="655"/>
      <c r="C423" s="655"/>
    </row>
    <row r="424" spans="2:3">
      <c r="B424" s="655"/>
      <c r="C424" s="655"/>
    </row>
    <row r="425" spans="2:3">
      <c r="B425" s="655"/>
      <c r="C425" s="655"/>
    </row>
    <row r="426" spans="2:3">
      <c r="B426" s="655"/>
      <c r="C426" s="655"/>
    </row>
    <row r="427" spans="2:3">
      <c r="B427" s="655"/>
      <c r="C427" s="655"/>
    </row>
    <row r="428" spans="2:3">
      <c r="B428" s="655"/>
      <c r="C428" s="655"/>
    </row>
    <row r="429" spans="2:3">
      <c r="B429" s="655"/>
      <c r="C429" s="655"/>
    </row>
    <row r="430" spans="2:3">
      <c r="B430" s="655"/>
      <c r="C430" s="655"/>
    </row>
    <row r="431" spans="2:3">
      <c r="B431" s="655"/>
      <c r="C431" s="655"/>
    </row>
    <row r="432" spans="2:3">
      <c r="B432" s="655"/>
      <c r="C432" s="655"/>
    </row>
    <row r="433" spans="2:3">
      <c r="B433" s="655"/>
      <c r="C433" s="655"/>
    </row>
    <row r="434" spans="2:3">
      <c r="B434" s="655"/>
      <c r="C434" s="655"/>
    </row>
    <row r="435" spans="2:3">
      <c r="B435" s="655"/>
      <c r="C435" s="655"/>
    </row>
    <row r="436" spans="2:3">
      <c r="B436" s="655"/>
      <c r="C436" s="655"/>
    </row>
    <row r="437" spans="2:3">
      <c r="B437" s="655"/>
      <c r="C437" s="655"/>
    </row>
    <row r="438" spans="2:3">
      <c r="B438" s="655"/>
      <c r="C438" s="655"/>
    </row>
    <row r="439" spans="2:3">
      <c r="B439" s="655"/>
      <c r="C439" s="655"/>
    </row>
    <row r="440" spans="2:3">
      <c r="B440" s="655"/>
      <c r="C440" s="655"/>
    </row>
    <row r="441" spans="2:3">
      <c r="B441" s="655"/>
      <c r="C441" s="655"/>
    </row>
    <row r="442" spans="2:3">
      <c r="B442" s="655"/>
      <c r="C442" s="655"/>
    </row>
    <row r="443" spans="2:3">
      <c r="B443" s="655"/>
      <c r="C443" s="655"/>
    </row>
    <row r="444" spans="2:3">
      <c r="B444" s="655"/>
      <c r="C444" s="655"/>
    </row>
    <row r="445" spans="2:3">
      <c r="B445" s="655"/>
      <c r="C445" s="655"/>
    </row>
    <row r="446" spans="2:3">
      <c r="B446" s="655"/>
      <c r="C446" s="655"/>
    </row>
    <row r="447" spans="2:3">
      <c r="B447" s="655"/>
      <c r="C447" s="655"/>
    </row>
    <row r="448" spans="2:3">
      <c r="B448" s="655"/>
      <c r="C448" s="655"/>
    </row>
    <row r="449" spans="2:3">
      <c r="B449" s="655"/>
      <c r="C449" s="655"/>
    </row>
    <row r="450" spans="2:3">
      <c r="B450" s="655"/>
      <c r="C450" s="655"/>
    </row>
    <row r="451" spans="2:3">
      <c r="B451" s="655"/>
      <c r="C451" s="655"/>
    </row>
    <row r="452" spans="2:3">
      <c r="B452" s="655"/>
      <c r="C452" s="655"/>
    </row>
    <row r="453" spans="2:3">
      <c r="B453" s="655"/>
      <c r="C453" s="655"/>
    </row>
    <row r="454" spans="2:3">
      <c r="B454" s="655"/>
      <c r="C454" s="655"/>
    </row>
    <row r="455" spans="2:3">
      <c r="B455" s="655"/>
      <c r="C455" s="655"/>
    </row>
    <row r="456" spans="2:3">
      <c r="B456" s="655"/>
      <c r="C456" s="655"/>
    </row>
    <row r="457" spans="2:3">
      <c r="B457" s="655"/>
      <c r="C457" s="655"/>
    </row>
    <row r="458" spans="2:3">
      <c r="B458" s="655"/>
      <c r="C458" s="655"/>
    </row>
    <row r="459" spans="2:3">
      <c r="B459" s="655"/>
      <c r="C459" s="655"/>
    </row>
    <row r="460" spans="2:3">
      <c r="B460" s="655"/>
      <c r="C460" s="655"/>
    </row>
    <row r="461" spans="2:3">
      <c r="B461" s="655"/>
      <c r="C461" s="655"/>
    </row>
    <row r="462" spans="2:3">
      <c r="B462" s="655"/>
      <c r="C462" s="655"/>
    </row>
    <row r="463" spans="2:3">
      <c r="B463" s="655"/>
      <c r="C463" s="655"/>
    </row>
    <row r="464" spans="2:3">
      <c r="B464" s="655"/>
      <c r="C464" s="655"/>
    </row>
    <row r="465" spans="2:3">
      <c r="B465" s="655"/>
      <c r="C465" s="655"/>
    </row>
    <row r="466" spans="2:3">
      <c r="B466" s="655"/>
      <c r="C466" s="655"/>
    </row>
    <row r="467" spans="2:3">
      <c r="B467" s="655"/>
      <c r="C467" s="655"/>
    </row>
    <row r="468" spans="2:3">
      <c r="B468" s="655"/>
      <c r="C468" s="655"/>
    </row>
    <row r="469" spans="2:3">
      <c r="B469" s="655"/>
      <c r="C469" s="655"/>
    </row>
    <row r="470" spans="2:3">
      <c r="B470" s="655"/>
      <c r="C470" s="655"/>
    </row>
    <row r="471" spans="2:3">
      <c r="B471" s="655"/>
      <c r="C471" s="655"/>
    </row>
    <row r="472" spans="2:3">
      <c r="B472" s="655"/>
      <c r="C472" s="655"/>
    </row>
    <row r="473" spans="2:3">
      <c r="B473" s="655"/>
      <c r="C473" s="655"/>
    </row>
    <row r="474" spans="2:3">
      <c r="B474" s="655"/>
      <c r="C474" s="655"/>
    </row>
    <row r="475" spans="2:3">
      <c r="B475" s="655"/>
      <c r="C475" s="655"/>
    </row>
    <row r="476" spans="2:3">
      <c r="B476" s="655"/>
      <c r="C476" s="655"/>
    </row>
    <row r="477" spans="2:3">
      <c r="B477" s="655"/>
      <c r="C477" s="655"/>
    </row>
    <row r="478" spans="2:3">
      <c r="B478" s="655"/>
      <c r="C478" s="655"/>
    </row>
    <row r="479" spans="2:3">
      <c r="B479" s="655"/>
      <c r="C479" s="655"/>
    </row>
    <row r="480" spans="2:3">
      <c r="B480" s="655"/>
      <c r="C480" s="655"/>
    </row>
    <row r="481" spans="2:3">
      <c r="B481" s="655"/>
      <c r="C481" s="655"/>
    </row>
    <row r="482" spans="2:3">
      <c r="B482" s="655"/>
      <c r="C482" s="655"/>
    </row>
    <row r="483" spans="2:3">
      <c r="B483" s="655"/>
      <c r="C483" s="655"/>
    </row>
    <row r="484" spans="2:3">
      <c r="B484" s="655"/>
      <c r="C484" s="655"/>
    </row>
    <row r="485" spans="2:3">
      <c r="B485" s="655"/>
      <c r="C485" s="655"/>
    </row>
    <row r="486" spans="2:3">
      <c r="B486" s="655"/>
      <c r="C486" s="655"/>
    </row>
    <row r="487" spans="2:3">
      <c r="B487" s="655"/>
      <c r="C487" s="655"/>
    </row>
    <row r="488" spans="2:3">
      <c r="B488" s="655"/>
      <c r="C488" s="655"/>
    </row>
    <row r="489" spans="2:3">
      <c r="B489" s="655"/>
      <c r="C489" s="655"/>
    </row>
    <row r="490" spans="2:3">
      <c r="B490" s="655"/>
      <c r="C490" s="655"/>
    </row>
    <row r="491" spans="2:3">
      <c r="B491" s="655"/>
      <c r="C491" s="655"/>
    </row>
    <row r="492" spans="2:3">
      <c r="B492" s="655"/>
      <c r="C492" s="655"/>
    </row>
    <row r="493" spans="2:3">
      <c r="B493" s="655"/>
      <c r="C493" s="655"/>
    </row>
    <row r="494" spans="2:3">
      <c r="B494" s="655"/>
      <c r="C494" s="655"/>
    </row>
    <row r="495" spans="2:3">
      <c r="B495" s="655"/>
      <c r="C495" s="655"/>
    </row>
    <row r="496" spans="2:3">
      <c r="B496" s="655"/>
      <c r="C496" s="655"/>
    </row>
    <row r="497" spans="2:3">
      <c r="B497" s="655"/>
      <c r="C497" s="655"/>
    </row>
    <row r="498" spans="2:3">
      <c r="B498" s="655"/>
      <c r="C498" s="655"/>
    </row>
    <row r="499" spans="2:3">
      <c r="B499" s="655"/>
      <c r="C499" s="655"/>
    </row>
    <row r="500" spans="2:3">
      <c r="B500" s="655"/>
      <c r="C500" s="655"/>
    </row>
    <row r="501" spans="2:3">
      <c r="B501" s="655"/>
      <c r="C501" s="655"/>
    </row>
    <row r="502" spans="2:3">
      <c r="B502" s="655"/>
      <c r="C502" s="655"/>
    </row>
    <row r="503" spans="2:3">
      <c r="B503" s="655"/>
      <c r="C503" s="655"/>
    </row>
    <row r="504" spans="2:3">
      <c r="B504" s="655"/>
      <c r="C504" s="655"/>
    </row>
    <row r="505" spans="2:3">
      <c r="B505" s="655"/>
      <c r="C505" s="655"/>
    </row>
    <row r="506" spans="2:3">
      <c r="B506" s="655"/>
      <c r="C506" s="655"/>
    </row>
    <row r="507" spans="2:3">
      <c r="B507" s="655"/>
      <c r="C507" s="655"/>
    </row>
    <row r="508" spans="2:3">
      <c r="B508" s="655"/>
      <c r="C508" s="655"/>
    </row>
    <row r="509" spans="2:3">
      <c r="B509" s="655"/>
      <c r="C509" s="655"/>
    </row>
    <row r="510" spans="2:3">
      <c r="B510" s="655"/>
      <c r="C510" s="655"/>
    </row>
    <row r="511" spans="2:3">
      <c r="B511" s="655"/>
      <c r="C511" s="655"/>
    </row>
    <row r="512" spans="2:3">
      <c r="B512" s="655"/>
      <c r="C512" s="655"/>
    </row>
    <row r="513" spans="2:3">
      <c r="B513" s="655"/>
      <c r="C513" s="655"/>
    </row>
    <row r="514" spans="2:3">
      <c r="B514" s="655"/>
      <c r="C514" s="655"/>
    </row>
    <row r="515" spans="2:3">
      <c r="B515" s="655"/>
      <c r="C515" s="655"/>
    </row>
    <row r="516" spans="2:3">
      <c r="B516" s="655"/>
      <c r="C516" s="655"/>
    </row>
    <row r="517" spans="2:3">
      <c r="B517" s="655"/>
      <c r="C517" s="655"/>
    </row>
    <row r="518" spans="2:3">
      <c r="B518" s="655"/>
      <c r="C518" s="655"/>
    </row>
    <row r="519" spans="2:3">
      <c r="B519" s="655"/>
      <c r="C519" s="655"/>
    </row>
    <row r="520" spans="2:3">
      <c r="B520" s="655"/>
      <c r="C520" s="655"/>
    </row>
    <row r="521" spans="2:3">
      <c r="B521" s="655"/>
      <c r="C521" s="655"/>
    </row>
    <row r="522" spans="2:3">
      <c r="B522" s="655"/>
      <c r="C522" s="655"/>
    </row>
    <row r="523" spans="2:3">
      <c r="B523" s="655"/>
      <c r="C523" s="655"/>
    </row>
    <row r="524" spans="2:3">
      <c r="B524" s="655"/>
      <c r="C524" s="655"/>
    </row>
    <row r="525" spans="2:3">
      <c r="B525" s="655"/>
      <c r="C525" s="655"/>
    </row>
    <row r="526" spans="2:3">
      <c r="B526" s="655"/>
      <c r="C526" s="655"/>
    </row>
    <row r="527" spans="2:3">
      <c r="B527" s="655"/>
      <c r="C527" s="655"/>
    </row>
    <row r="528" spans="2:3">
      <c r="B528" s="655"/>
      <c r="C528" s="655"/>
    </row>
    <row r="529" spans="2:3">
      <c r="B529" s="655"/>
      <c r="C529" s="655"/>
    </row>
    <row r="530" spans="2:3">
      <c r="B530" s="655"/>
      <c r="C530" s="655"/>
    </row>
    <row r="531" spans="2:3">
      <c r="B531" s="655"/>
      <c r="C531" s="655"/>
    </row>
    <row r="532" spans="2:3">
      <c r="B532" s="655"/>
      <c r="C532" s="655"/>
    </row>
    <row r="533" spans="2:3">
      <c r="B533" s="655"/>
      <c r="C533" s="655"/>
    </row>
    <row r="534" spans="2:3">
      <c r="B534" s="655"/>
      <c r="C534" s="655"/>
    </row>
    <row r="535" spans="2:3">
      <c r="B535" s="655"/>
      <c r="C535" s="655"/>
    </row>
    <row r="536" spans="2:3">
      <c r="B536" s="655"/>
      <c r="C536" s="655"/>
    </row>
    <row r="537" spans="2:3">
      <c r="B537" s="655"/>
      <c r="C537" s="655"/>
    </row>
    <row r="538" spans="2:3">
      <c r="B538" s="655"/>
      <c r="C538" s="655"/>
    </row>
    <row r="539" spans="2:3">
      <c r="B539" s="655"/>
      <c r="C539" s="655"/>
    </row>
    <row r="540" spans="2:3">
      <c r="B540" s="655"/>
      <c r="C540" s="655"/>
    </row>
    <row r="541" spans="2:3">
      <c r="B541" s="655"/>
      <c r="C541" s="655"/>
    </row>
    <row r="542" spans="2:3">
      <c r="B542" s="655"/>
      <c r="C542" s="655"/>
    </row>
    <row r="543" spans="2:3">
      <c r="B543" s="655"/>
      <c r="C543" s="655"/>
    </row>
    <row r="544" spans="2:3">
      <c r="B544" s="655"/>
      <c r="C544" s="655"/>
    </row>
    <row r="545" spans="2:3">
      <c r="B545" s="655"/>
      <c r="C545" s="655"/>
    </row>
    <row r="546" spans="2:3">
      <c r="B546" s="655"/>
      <c r="C546" s="655"/>
    </row>
    <row r="547" spans="2:3">
      <c r="B547" s="655"/>
      <c r="C547" s="655"/>
    </row>
    <row r="548" spans="2:3">
      <c r="B548" s="655"/>
      <c r="C548" s="655"/>
    </row>
    <row r="549" spans="2:3">
      <c r="B549" s="655"/>
      <c r="C549" s="655"/>
    </row>
    <row r="550" spans="2:3">
      <c r="B550" s="655"/>
      <c r="C550" s="655"/>
    </row>
    <row r="551" spans="2:3">
      <c r="B551" s="655"/>
      <c r="C551" s="655"/>
    </row>
    <row r="552" spans="2:3">
      <c r="B552" s="655"/>
      <c r="C552" s="655"/>
    </row>
    <row r="553" spans="2:3">
      <c r="B553" s="655"/>
      <c r="C553" s="655"/>
    </row>
    <row r="554" spans="2:3">
      <c r="B554" s="655"/>
      <c r="C554" s="655"/>
    </row>
    <row r="555" spans="2:3">
      <c r="B555" s="655"/>
      <c r="C555" s="655"/>
    </row>
    <row r="556" spans="2:3">
      <c r="B556" s="655"/>
      <c r="C556" s="655"/>
    </row>
    <row r="557" spans="2:3">
      <c r="B557" s="655"/>
      <c r="C557" s="655"/>
    </row>
    <row r="558" spans="2:3">
      <c r="B558" s="655"/>
      <c r="C558" s="655"/>
    </row>
    <row r="559" spans="2:3">
      <c r="B559" s="655"/>
      <c r="C559" s="655"/>
    </row>
    <row r="560" spans="2:3">
      <c r="B560" s="655"/>
      <c r="C560" s="655"/>
    </row>
    <row r="561" spans="2:3">
      <c r="B561" s="655"/>
      <c r="C561" s="655"/>
    </row>
    <row r="562" spans="2:3">
      <c r="B562" s="655"/>
      <c r="C562" s="655"/>
    </row>
    <row r="563" spans="2:3">
      <c r="B563" s="655"/>
      <c r="C563" s="655"/>
    </row>
    <row r="564" spans="2:3">
      <c r="B564" s="655"/>
      <c r="C564" s="655"/>
    </row>
    <row r="565" spans="2:3">
      <c r="B565" s="655"/>
      <c r="C565" s="655"/>
    </row>
    <row r="566" spans="2:3">
      <c r="B566" s="655"/>
      <c r="C566" s="655"/>
    </row>
    <row r="567" spans="2:3">
      <c r="B567" s="655"/>
      <c r="C567" s="655"/>
    </row>
    <row r="568" spans="2:3">
      <c r="B568" s="655"/>
      <c r="C568" s="655"/>
    </row>
    <row r="569" spans="2:3">
      <c r="B569" s="655"/>
      <c r="C569" s="655"/>
    </row>
    <row r="570" spans="2:3">
      <c r="B570" s="655"/>
      <c r="C570" s="655"/>
    </row>
    <row r="571" spans="2:3">
      <c r="B571" s="655"/>
      <c r="C571" s="655"/>
    </row>
    <row r="572" spans="2:3">
      <c r="B572" s="655"/>
      <c r="C572" s="655"/>
    </row>
    <row r="573" spans="2:3">
      <c r="B573" s="655"/>
      <c r="C573" s="655"/>
    </row>
    <row r="574" spans="2:3">
      <c r="B574" s="655"/>
      <c r="C574" s="655"/>
    </row>
    <row r="575" spans="2:3">
      <c r="B575" s="655"/>
      <c r="C575" s="655"/>
    </row>
    <row r="576" spans="2:3">
      <c r="B576" s="655"/>
      <c r="C576" s="655"/>
    </row>
    <row r="577" spans="2:3">
      <c r="B577" s="655"/>
      <c r="C577" s="655"/>
    </row>
    <row r="578" spans="2:3">
      <c r="B578" s="655"/>
      <c r="C578" s="655"/>
    </row>
    <row r="579" spans="2:3">
      <c r="B579" s="655"/>
      <c r="C579" s="655"/>
    </row>
    <row r="580" spans="2:3">
      <c r="B580" s="655"/>
      <c r="C580" s="655"/>
    </row>
    <row r="581" spans="2:3">
      <c r="B581" s="655"/>
      <c r="C581" s="655"/>
    </row>
    <row r="582" spans="2:3">
      <c r="B582" s="655"/>
      <c r="C582" s="655"/>
    </row>
    <row r="583" spans="2:3">
      <c r="B583" s="655"/>
      <c r="C583" s="655"/>
    </row>
    <row r="584" spans="2:3">
      <c r="B584" s="655"/>
      <c r="C584" s="655"/>
    </row>
    <row r="585" spans="2:3">
      <c r="B585" s="655"/>
      <c r="C585" s="655"/>
    </row>
    <row r="586" spans="2:3">
      <c r="B586" s="655"/>
      <c r="C586" s="655"/>
    </row>
    <row r="587" spans="2:3">
      <c r="B587" s="655"/>
      <c r="C587" s="655"/>
    </row>
    <row r="588" spans="2:3">
      <c r="B588" s="655"/>
      <c r="C588" s="655"/>
    </row>
    <row r="589" spans="2:3">
      <c r="B589" s="655"/>
      <c r="C589" s="655"/>
    </row>
    <row r="590" spans="2:3">
      <c r="B590" s="655"/>
      <c r="C590" s="655"/>
    </row>
    <row r="591" spans="2:3">
      <c r="B591" s="655"/>
      <c r="C591" s="655"/>
    </row>
    <row r="592" spans="2:3">
      <c r="B592" s="655"/>
      <c r="C592" s="655"/>
    </row>
    <row r="593" spans="2:3">
      <c r="B593" s="655"/>
      <c r="C593" s="655"/>
    </row>
    <row r="594" spans="2:3">
      <c r="B594" s="655"/>
      <c r="C594" s="655"/>
    </row>
    <row r="595" spans="2:3">
      <c r="B595" s="655"/>
      <c r="C595" s="655"/>
    </row>
    <row r="596" spans="2:3">
      <c r="B596" s="655"/>
      <c r="C596" s="655"/>
    </row>
    <row r="597" spans="2:3">
      <c r="B597" s="655"/>
      <c r="C597" s="655"/>
    </row>
    <row r="598" spans="2:3">
      <c r="B598" s="655"/>
      <c r="C598" s="655"/>
    </row>
    <row r="599" spans="2:3">
      <c r="B599" s="655"/>
      <c r="C599" s="655"/>
    </row>
    <row r="600" spans="2:3">
      <c r="B600" s="655"/>
      <c r="C600" s="655"/>
    </row>
    <row r="601" spans="2:3">
      <c r="B601" s="655"/>
      <c r="C601" s="655"/>
    </row>
    <row r="602" spans="2:3">
      <c r="B602" s="655"/>
      <c r="C602" s="655"/>
    </row>
    <row r="603" spans="2:3">
      <c r="B603" s="655"/>
      <c r="C603" s="655"/>
    </row>
    <row r="604" spans="2:3">
      <c r="B604" s="655"/>
      <c r="C604" s="655"/>
    </row>
    <row r="605" spans="2:3">
      <c r="B605" s="655"/>
      <c r="C605" s="655"/>
    </row>
    <row r="606" spans="2:3">
      <c r="B606" s="655"/>
      <c r="C606" s="655"/>
    </row>
    <row r="607" spans="2:3">
      <c r="B607" s="655"/>
      <c r="C607" s="655"/>
    </row>
    <row r="608" spans="2:3">
      <c r="B608" s="655"/>
      <c r="C608" s="655"/>
    </row>
    <row r="609" spans="2:3">
      <c r="B609" s="655"/>
      <c r="C609" s="655"/>
    </row>
    <row r="610" spans="2:3">
      <c r="B610" s="655"/>
      <c r="C610" s="655"/>
    </row>
    <row r="611" spans="2:3">
      <c r="B611" s="655"/>
      <c r="C611" s="655"/>
    </row>
    <row r="612" spans="2:3">
      <c r="B612" s="655"/>
      <c r="C612" s="655"/>
    </row>
    <row r="613" spans="2:3">
      <c r="B613" s="655"/>
      <c r="C613" s="655"/>
    </row>
    <row r="614" spans="2:3">
      <c r="B614" s="655"/>
      <c r="C614" s="655"/>
    </row>
    <row r="615" spans="2:3">
      <c r="B615" s="655"/>
      <c r="C615" s="655"/>
    </row>
    <row r="616" spans="2:3">
      <c r="B616" s="655"/>
      <c r="C616" s="655"/>
    </row>
    <row r="617" spans="2:3">
      <c r="B617" s="655"/>
      <c r="C617" s="655"/>
    </row>
    <row r="618" spans="2:3">
      <c r="B618" s="655"/>
      <c r="C618" s="655"/>
    </row>
    <row r="619" spans="2:3">
      <c r="B619" s="655"/>
      <c r="C619" s="655"/>
    </row>
    <row r="620" spans="2:3">
      <c r="B620" s="655"/>
      <c r="C620" s="655"/>
    </row>
    <row r="621" spans="2:3">
      <c r="B621" s="655"/>
      <c r="C621" s="655"/>
    </row>
    <row r="622" spans="2:3">
      <c r="B622" s="655"/>
      <c r="C622" s="655"/>
    </row>
    <row r="623" spans="2:3">
      <c r="B623" s="655"/>
      <c r="C623" s="655"/>
    </row>
    <row r="624" spans="2:3">
      <c r="B624" s="655"/>
      <c r="C624" s="655"/>
    </row>
    <row r="625" spans="2:3">
      <c r="B625" s="655"/>
      <c r="C625" s="655"/>
    </row>
    <row r="626" spans="2:3">
      <c r="B626" s="655"/>
      <c r="C626" s="655"/>
    </row>
    <row r="627" spans="2:3">
      <c r="B627" s="655"/>
      <c r="C627" s="655"/>
    </row>
    <row r="628" spans="2:3">
      <c r="B628" s="655"/>
      <c r="C628" s="655"/>
    </row>
    <row r="629" spans="2:3">
      <c r="B629" s="655"/>
      <c r="C629" s="655"/>
    </row>
    <row r="630" spans="2:3">
      <c r="B630" s="655"/>
      <c r="C630" s="655"/>
    </row>
    <row r="631" spans="2:3">
      <c r="B631" s="655"/>
      <c r="C631" s="655"/>
    </row>
    <row r="632" spans="2:3">
      <c r="B632" s="655"/>
      <c r="C632" s="655"/>
    </row>
    <row r="633" spans="2:3">
      <c r="B633" s="655"/>
      <c r="C633" s="655"/>
    </row>
    <row r="634" spans="2:3">
      <c r="B634" s="655"/>
      <c r="C634" s="655"/>
    </row>
    <row r="635" spans="2:3">
      <c r="B635" s="655"/>
      <c r="C635" s="655"/>
    </row>
    <row r="636" spans="2:3">
      <c r="B636" s="655"/>
      <c r="C636" s="655"/>
    </row>
    <row r="637" spans="2:3">
      <c r="B637" s="655"/>
      <c r="C637" s="655"/>
    </row>
    <row r="638" spans="2:3">
      <c r="B638" s="655"/>
      <c r="C638" s="655"/>
    </row>
    <row r="639" spans="2:3">
      <c r="B639" s="655"/>
      <c r="C639" s="655"/>
    </row>
    <row r="640" spans="2:3">
      <c r="B640" s="655"/>
      <c r="C640" s="655"/>
    </row>
    <row r="641" spans="2:3">
      <c r="B641" s="655"/>
      <c r="C641" s="655"/>
    </row>
    <row r="642" spans="2:3">
      <c r="B642" s="655"/>
      <c r="C642" s="655"/>
    </row>
    <row r="643" spans="2:3">
      <c r="B643" s="655"/>
      <c r="C643" s="655"/>
    </row>
    <row r="644" spans="2:3">
      <c r="B644" s="655"/>
      <c r="C644" s="655"/>
    </row>
    <row r="645" spans="2:3">
      <c r="B645" s="655"/>
      <c r="C645" s="655"/>
    </row>
    <row r="646" spans="2:3">
      <c r="B646" s="655"/>
      <c r="C646" s="655"/>
    </row>
    <row r="647" spans="2:3">
      <c r="B647" s="655"/>
      <c r="C647" s="655"/>
    </row>
    <row r="648" spans="2:3">
      <c r="B648" s="655"/>
      <c r="C648" s="655"/>
    </row>
    <row r="649" spans="2:3">
      <c r="B649" s="655"/>
      <c r="C649" s="655"/>
    </row>
    <row r="650" spans="2:3">
      <c r="B650" s="655"/>
      <c r="C650" s="655"/>
    </row>
    <row r="651" spans="2:3">
      <c r="B651" s="655"/>
      <c r="C651" s="655"/>
    </row>
    <row r="652" spans="2:3">
      <c r="B652" s="655"/>
      <c r="C652" s="655"/>
    </row>
    <row r="653" spans="2:3">
      <c r="B653" s="655"/>
      <c r="C653" s="655"/>
    </row>
    <row r="654" spans="2:3">
      <c r="B654" s="655"/>
      <c r="C654" s="655"/>
    </row>
    <row r="655" spans="2:3">
      <c r="B655" s="655"/>
      <c r="C655" s="655"/>
    </row>
    <row r="656" spans="2:3">
      <c r="B656" s="655"/>
      <c r="C656" s="655"/>
    </row>
    <row r="657" spans="2:3">
      <c r="B657" s="655"/>
      <c r="C657" s="655"/>
    </row>
    <row r="658" spans="2:3">
      <c r="B658" s="655"/>
      <c r="C658" s="655"/>
    </row>
    <row r="659" spans="2:3">
      <c r="B659" s="655"/>
      <c r="C659" s="655"/>
    </row>
    <row r="660" spans="2:3">
      <c r="B660" s="655"/>
      <c r="C660" s="655"/>
    </row>
    <row r="661" spans="2:3">
      <c r="B661" s="655"/>
      <c r="C661" s="655"/>
    </row>
    <row r="662" spans="2:3">
      <c r="B662" s="655"/>
      <c r="C662" s="655"/>
    </row>
    <row r="663" spans="2:3">
      <c r="B663" s="655"/>
      <c r="C663" s="655"/>
    </row>
    <row r="664" spans="2:3">
      <c r="B664" s="655"/>
      <c r="C664" s="655"/>
    </row>
    <row r="665" spans="2:3">
      <c r="B665" s="655"/>
      <c r="C665" s="655"/>
    </row>
    <row r="666" spans="2:3">
      <c r="B666" s="655"/>
      <c r="C666" s="655"/>
    </row>
    <row r="667" spans="2:3">
      <c r="B667" s="655"/>
      <c r="C667" s="655"/>
    </row>
    <row r="668" spans="2:3">
      <c r="B668" s="655"/>
      <c r="C668" s="655"/>
    </row>
    <row r="669" spans="2:3">
      <c r="B669" s="655"/>
      <c r="C669" s="655"/>
    </row>
    <row r="670" spans="2:3">
      <c r="B670" s="655"/>
      <c r="C670" s="655"/>
    </row>
    <row r="671" spans="2:3">
      <c r="B671" s="655"/>
      <c r="C671" s="655"/>
    </row>
    <row r="672" spans="2:3">
      <c r="B672" s="655"/>
      <c r="C672" s="655"/>
    </row>
    <row r="673" spans="2:3">
      <c r="B673" s="655"/>
      <c r="C673" s="655"/>
    </row>
    <row r="674" spans="2:3">
      <c r="B674" s="655"/>
      <c r="C674" s="655"/>
    </row>
    <row r="675" spans="2:3">
      <c r="B675" s="655"/>
      <c r="C675" s="655"/>
    </row>
    <row r="676" spans="2:3">
      <c r="B676" s="655"/>
      <c r="C676" s="655"/>
    </row>
    <row r="677" spans="2:3">
      <c r="B677" s="655"/>
      <c r="C677" s="655"/>
    </row>
    <row r="678" spans="2:3">
      <c r="B678" s="655"/>
      <c r="C678" s="655"/>
    </row>
    <row r="679" spans="2:3">
      <c r="B679" s="655"/>
      <c r="C679" s="655"/>
    </row>
    <row r="680" spans="2:3">
      <c r="B680" s="655"/>
      <c r="C680" s="655"/>
    </row>
    <row r="681" spans="2:3">
      <c r="B681" s="655"/>
      <c r="C681" s="655"/>
    </row>
    <row r="682" spans="2:3">
      <c r="B682" s="655"/>
      <c r="C682" s="655"/>
    </row>
    <row r="683" spans="2:3">
      <c r="B683" s="655"/>
      <c r="C683" s="655"/>
    </row>
    <row r="684" spans="2:3">
      <c r="B684" s="655"/>
      <c r="C684" s="655"/>
    </row>
    <row r="685" spans="2:3">
      <c r="B685" s="655"/>
      <c r="C685" s="655"/>
    </row>
    <row r="686" spans="2:3">
      <c r="B686" s="655"/>
      <c r="C686" s="655"/>
    </row>
    <row r="687" spans="2:3">
      <c r="B687" s="655"/>
      <c r="C687" s="655"/>
    </row>
    <row r="688" spans="2:3">
      <c r="B688" s="655"/>
      <c r="C688" s="655"/>
    </row>
    <row r="689" spans="2:3">
      <c r="B689" s="655"/>
      <c r="C689" s="655"/>
    </row>
    <row r="690" spans="2:3">
      <c r="B690" s="655"/>
      <c r="C690" s="655"/>
    </row>
    <row r="691" spans="2:3">
      <c r="B691" s="655"/>
      <c r="C691" s="655"/>
    </row>
    <row r="692" spans="2:3">
      <c r="B692" s="655"/>
      <c r="C692" s="655"/>
    </row>
    <row r="693" spans="2:3">
      <c r="B693" s="655"/>
      <c r="C693" s="655"/>
    </row>
    <row r="694" spans="2:3">
      <c r="B694" s="655"/>
      <c r="C694" s="655"/>
    </row>
    <row r="695" spans="2:3">
      <c r="B695" s="655"/>
      <c r="C695" s="655"/>
    </row>
    <row r="696" spans="2:3">
      <c r="B696" s="655"/>
      <c r="C696" s="655"/>
    </row>
    <row r="697" spans="2:3">
      <c r="B697" s="655"/>
      <c r="C697" s="655"/>
    </row>
    <row r="698" spans="2:3">
      <c r="B698" s="655"/>
      <c r="C698" s="655"/>
    </row>
    <row r="699" spans="2:3">
      <c r="B699" s="655"/>
      <c r="C699" s="655"/>
    </row>
    <row r="700" spans="2:3">
      <c r="B700" s="655"/>
      <c r="C700" s="655"/>
    </row>
    <row r="701" spans="2:3">
      <c r="B701" s="655"/>
      <c r="C701" s="655"/>
    </row>
    <row r="702" spans="2:3">
      <c r="B702" s="655"/>
      <c r="C702" s="655"/>
    </row>
    <row r="703" spans="2:3">
      <c r="B703" s="655"/>
      <c r="C703" s="655"/>
    </row>
    <row r="704" spans="2:3">
      <c r="B704" s="655"/>
      <c r="C704" s="655"/>
    </row>
    <row r="705" spans="2:3">
      <c r="B705" s="655"/>
      <c r="C705" s="655"/>
    </row>
    <row r="706" spans="2:3">
      <c r="B706" s="655"/>
      <c r="C706" s="655"/>
    </row>
    <row r="707" spans="2:3">
      <c r="B707" s="655"/>
      <c r="C707" s="655"/>
    </row>
    <row r="708" spans="2:3">
      <c r="B708" s="655"/>
      <c r="C708" s="655"/>
    </row>
    <row r="709" spans="2:3">
      <c r="B709" s="655"/>
      <c r="C709" s="655"/>
    </row>
    <row r="710" spans="2:3">
      <c r="B710" s="655"/>
      <c r="C710" s="655"/>
    </row>
    <row r="711" spans="2:3">
      <c r="B711" s="655"/>
      <c r="C711" s="655"/>
    </row>
    <row r="712" spans="2:3">
      <c r="B712" s="655"/>
      <c r="C712" s="655"/>
    </row>
    <row r="713" spans="2:3">
      <c r="B713" s="655"/>
      <c r="C713" s="655"/>
    </row>
    <row r="714" spans="2:3">
      <c r="B714" s="655"/>
      <c r="C714" s="655"/>
    </row>
    <row r="715" spans="2:3">
      <c r="B715" s="655"/>
      <c r="C715" s="655"/>
    </row>
    <row r="716" spans="2:3">
      <c r="B716" s="655"/>
      <c r="C716" s="655"/>
    </row>
    <row r="717" spans="2:3">
      <c r="B717" s="655"/>
      <c r="C717" s="655"/>
    </row>
    <row r="718" spans="2:3">
      <c r="B718" s="655"/>
      <c r="C718" s="655"/>
    </row>
    <row r="719" spans="2:3">
      <c r="B719" s="655"/>
      <c r="C719" s="655"/>
    </row>
    <row r="720" spans="2:3">
      <c r="B720" s="655"/>
      <c r="C720" s="655"/>
    </row>
    <row r="721" spans="2:3">
      <c r="B721" s="655"/>
      <c r="C721" s="655"/>
    </row>
    <row r="722" spans="2:3">
      <c r="B722" s="655"/>
      <c r="C722" s="655"/>
    </row>
    <row r="723" spans="2:3">
      <c r="B723" s="655"/>
      <c r="C723" s="655"/>
    </row>
    <row r="724" spans="2:3">
      <c r="B724" s="655"/>
      <c r="C724" s="655"/>
    </row>
    <row r="725" spans="2:3">
      <c r="B725" s="655"/>
      <c r="C725" s="655"/>
    </row>
    <row r="726" spans="2:3">
      <c r="B726" s="655"/>
      <c r="C726" s="655"/>
    </row>
    <row r="727" spans="2:3">
      <c r="B727" s="655"/>
      <c r="C727" s="655"/>
    </row>
    <row r="728" spans="2:3">
      <c r="B728" s="655"/>
      <c r="C728" s="655"/>
    </row>
    <row r="729" spans="2:3">
      <c r="B729" s="655"/>
      <c r="C729" s="655"/>
    </row>
    <row r="730" spans="2:3">
      <c r="B730" s="655"/>
      <c r="C730" s="655"/>
    </row>
    <row r="731" spans="2:3">
      <c r="B731" s="655"/>
      <c r="C731" s="655"/>
    </row>
    <row r="732" spans="2:3">
      <c r="B732" s="655"/>
      <c r="C732" s="655"/>
    </row>
    <row r="733" spans="2:3">
      <c r="B733" s="655"/>
      <c r="C733" s="655"/>
    </row>
    <row r="734" spans="2:3">
      <c r="B734" s="655"/>
      <c r="C734" s="655"/>
    </row>
    <row r="735" spans="2:3">
      <c r="B735" s="655"/>
      <c r="C735" s="655"/>
    </row>
    <row r="736" spans="2:3">
      <c r="B736" s="655"/>
      <c r="C736" s="655"/>
    </row>
    <row r="737" spans="2:3">
      <c r="B737" s="655"/>
      <c r="C737" s="655"/>
    </row>
    <row r="738" spans="2:3">
      <c r="B738" s="655"/>
      <c r="C738" s="655"/>
    </row>
    <row r="739" spans="2:3">
      <c r="B739" s="655"/>
      <c r="C739" s="655"/>
    </row>
    <row r="740" spans="2:3">
      <c r="B740" s="655"/>
      <c r="C740" s="655"/>
    </row>
    <row r="741" spans="2:3">
      <c r="B741" s="655"/>
      <c r="C741" s="655"/>
    </row>
    <row r="742" spans="2:3">
      <c r="B742" s="655"/>
      <c r="C742" s="655"/>
    </row>
    <row r="743" spans="2:3">
      <c r="B743" s="655"/>
      <c r="C743" s="655"/>
    </row>
    <row r="744" spans="2:3">
      <c r="B744" s="655"/>
      <c r="C744" s="655"/>
    </row>
    <row r="745" spans="2:3">
      <c r="B745" s="655"/>
      <c r="C745" s="655"/>
    </row>
    <row r="746" spans="2:3">
      <c r="B746" s="655"/>
      <c r="C746" s="655"/>
    </row>
    <row r="747" spans="2:3">
      <c r="B747" s="655"/>
      <c r="C747" s="655"/>
    </row>
    <row r="748" spans="2:3">
      <c r="B748" s="655"/>
      <c r="C748" s="655"/>
    </row>
    <row r="749" spans="2:3">
      <c r="B749" s="655"/>
      <c r="C749" s="655"/>
    </row>
    <row r="750" spans="2:3">
      <c r="B750" s="655"/>
      <c r="C750" s="655"/>
    </row>
    <row r="751" spans="2:3">
      <c r="B751" s="655"/>
      <c r="C751" s="655"/>
    </row>
    <row r="752" spans="2:3">
      <c r="B752" s="655"/>
      <c r="C752" s="655"/>
    </row>
    <row r="753" spans="2:3">
      <c r="B753" s="655"/>
      <c r="C753" s="655"/>
    </row>
    <row r="754" spans="2:3">
      <c r="B754" s="655"/>
      <c r="C754" s="655"/>
    </row>
    <row r="755" spans="2:3">
      <c r="B755" s="655"/>
      <c r="C755" s="655"/>
    </row>
    <row r="756" spans="2:3">
      <c r="B756" s="655"/>
      <c r="C756" s="655"/>
    </row>
    <row r="757" spans="2:3">
      <c r="B757" s="655"/>
      <c r="C757" s="655"/>
    </row>
    <row r="758" spans="2:3">
      <c r="B758" s="655"/>
      <c r="C758" s="655"/>
    </row>
    <row r="759" spans="2:3">
      <c r="B759" s="655"/>
      <c r="C759" s="655"/>
    </row>
    <row r="760" spans="2:3">
      <c r="B760" s="655"/>
      <c r="C760" s="655"/>
    </row>
    <row r="761" spans="2:3">
      <c r="B761" s="655"/>
      <c r="C761" s="655"/>
    </row>
    <row r="762" spans="2:3">
      <c r="B762" s="655"/>
      <c r="C762" s="655"/>
    </row>
    <row r="763" spans="2:3">
      <c r="B763" s="655"/>
      <c r="C763" s="655"/>
    </row>
    <row r="764" spans="2:3">
      <c r="B764" s="655"/>
      <c r="C764" s="655"/>
    </row>
    <row r="765" spans="2:3">
      <c r="B765" s="655"/>
      <c r="C765" s="655"/>
    </row>
    <row r="766" spans="2:3">
      <c r="B766" s="655"/>
      <c r="C766" s="655"/>
    </row>
    <row r="767" spans="2:3">
      <c r="B767" s="655"/>
      <c r="C767" s="655"/>
    </row>
    <row r="768" spans="2:3">
      <c r="B768" s="655"/>
      <c r="C768" s="655"/>
    </row>
    <row r="769" spans="2:3">
      <c r="B769" s="655"/>
      <c r="C769" s="655"/>
    </row>
    <row r="770" spans="2:3">
      <c r="B770" s="655"/>
      <c r="C770" s="655"/>
    </row>
    <row r="771" spans="2:3">
      <c r="B771" s="655"/>
      <c r="C771" s="655"/>
    </row>
    <row r="772" spans="2:3">
      <c r="B772" s="655"/>
      <c r="C772" s="655"/>
    </row>
    <row r="773" spans="2:3">
      <c r="B773" s="655"/>
      <c r="C773" s="655"/>
    </row>
    <row r="774" spans="2:3">
      <c r="B774" s="655"/>
      <c r="C774" s="655"/>
    </row>
    <row r="775" spans="2:3">
      <c r="B775" s="655"/>
      <c r="C775" s="655"/>
    </row>
    <row r="776" spans="2:3">
      <c r="B776" s="655"/>
      <c r="C776" s="655"/>
    </row>
    <row r="777" spans="2:3">
      <c r="B777" s="655"/>
      <c r="C777" s="655"/>
    </row>
    <row r="778" spans="2:3">
      <c r="B778" s="655"/>
      <c r="C778" s="655"/>
    </row>
    <row r="779" spans="2:3">
      <c r="B779" s="655"/>
      <c r="C779" s="655"/>
    </row>
    <row r="780" spans="2:3">
      <c r="B780" s="655"/>
      <c r="C780" s="655"/>
    </row>
    <row r="781" spans="2:3">
      <c r="B781" s="655"/>
      <c r="C781" s="655"/>
    </row>
    <row r="782" spans="2:3">
      <c r="B782" s="655"/>
      <c r="C782" s="655"/>
    </row>
    <row r="783" spans="2:3">
      <c r="B783" s="655"/>
      <c r="C783" s="655"/>
    </row>
    <row r="784" spans="2:3">
      <c r="B784" s="655"/>
      <c r="C784" s="655"/>
    </row>
    <row r="785" spans="2:3">
      <c r="B785" s="655"/>
      <c r="C785" s="655"/>
    </row>
    <row r="786" spans="2:3">
      <c r="B786" s="655"/>
      <c r="C786" s="655"/>
    </row>
    <row r="787" spans="2:3">
      <c r="B787" s="655"/>
      <c r="C787" s="655"/>
    </row>
    <row r="788" spans="2:3">
      <c r="B788" s="655"/>
      <c r="C788" s="655"/>
    </row>
    <row r="789" spans="2:3">
      <c r="B789" s="655"/>
      <c r="C789" s="655"/>
    </row>
    <row r="790" spans="2:3">
      <c r="B790" s="655"/>
      <c r="C790" s="655"/>
    </row>
    <row r="791" spans="2:3">
      <c r="B791" s="655"/>
      <c r="C791" s="655"/>
    </row>
    <row r="792" spans="2:3">
      <c r="B792" s="655"/>
      <c r="C792" s="655"/>
    </row>
    <row r="793" spans="2:3">
      <c r="B793" s="655"/>
      <c r="C793" s="655"/>
    </row>
    <row r="794" spans="2:3">
      <c r="B794" s="655"/>
      <c r="C794" s="655"/>
    </row>
    <row r="795" spans="2:3">
      <c r="B795" s="655"/>
      <c r="C795" s="655"/>
    </row>
    <row r="796" spans="2:3">
      <c r="B796" s="655"/>
      <c r="C796" s="655"/>
    </row>
    <row r="797" spans="2:3">
      <c r="B797" s="655"/>
      <c r="C797" s="655"/>
    </row>
    <row r="798" spans="2:3">
      <c r="B798" s="655"/>
      <c r="C798" s="655"/>
    </row>
    <row r="799" spans="2:3">
      <c r="B799" s="655"/>
      <c r="C799" s="655"/>
    </row>
    <row r="800" spans="2:3">
      <c r="B800" s="655"/>
      <c r="C800" s="655"/>
    </row>
    <row r="801" spans="2:3">
      <c r="B801" s="655"/>
      <c r="C801" s="655"/>
    </row>
    <row r="802" spans="2:3">
      <c r="B802" s="655"/>
      <c r="C802" s="655"/>
    </row>
    <row r="803" spans="2:3">
      <c r="B803" s="655"/>
      <c r="C803" s="655"/>
    </row>
    <row r="804" spans="2:3">
      <c r="B804" s="655"/>
      <c r="C804" s="655"/>
    </row>
    <row r="805" spans="2:3">
      <c r="B805" s="655"/>
      <c r="C805" s="655"/>
    </row>
    <row r="806" spans="2:3">
      <c r="B806" s="655"/>
      <c r="C806" s="655"/>
    </row>
    <row r="807" spans="2:3">
      <c r="B807" s="655"/>
      <c r="C807" s="655"/>
    </row>
    <row r="808" spans="2:3">
      <c r="B808" s="655"/>
      <c r="C808" s="655"/>
    </row>
    <row r="809" spans="2:3">
      <c r="B809" s="655"/>
      <c r="C809" s="655"/>
    </row>
    <row r="810" spans="2:3">
      <c r="B810" s="655"/>
      <c r="C810" s="655"/>
    </row>
    <row r="811" spans="2:3">
      <c r="B811" s="655"/>
      <c r="C811" s="655"/>
    </row>
    <row r="812" spans="2:3">
      <c r="B812" s="655"/>
      <c r="C812" s="655"/>
    </row>
    <row r="813" spans="2:3">
      <c r="B813" s="655"/>
      <c r="C813" s="655"/>
    </row>
    <row r="814" spans="2:3">
      <c r="B814" s="655"/>
      <c r="C814" s="655"/>
    </row>
    <row r="815" spans="2:3">
      <c r="B815" s="655"/>
      <c r="C815" s="655"/>
    </row>
    <row r="816" spans="2:3">
      <c r="B816" s="655"/>
      <c r="C816" s="655"/>
    </row>
    <row r="817" spans="2:3">
      <c r="B817" s="655"/>
      <c r="C817" s="655"/>
    </row>
    <row r="818" spans="2:3">
      <c r="B818" s="655"/>
      <c r="C818" s="655"/>
    </row>
    <row r="819" spans="2:3">
      <c r="B819" s="655"/>
      <c r="C819" s="655"/>
    </row>
    <row r="820" spans="2:3">
      <c r="B820" s="655"/>
      <c r="C820" s="655"/>
    </row>
    <row r="821" spans="2:3">
      <c r="B821" s="655"/>
      <c r="C821" s="655"/>
    </row>
    <row r="822" spans="2:3">
      <c r="B822" s="655"/>
      <c r="C822" s="655"/>
    </row>
    <row r="823" spans="2:3">
      <c r="B823" s="655"/>
      <c r="C823" s="655"/>
    </row>
    <row r="824" spans="2:3">
      <c r="B824" s="655"/>
      <c r="C824" s="655"/>
    </row>
    <row r="825" spans="2:3">
      <c r="B825" s="655"/>
      <c r="C825" s="655"/>
    </row>
    <row r="826" spans="2:3">
      <c r="B826" s="655"/>
      <c r="C826" s="655"/>
    </row>
    <row r="827" spans="2:3">
      <c r="B827" s="655"/>
      <c r="C827" s="655"/>
    </row>
    <row r="828" spans="2:3">
      <c r="B828" s="655"/>
      <c r="C828" s="655"/>
    </row>
    <row r="829" spans="2:3">
      <c r="B829" s="655"/>
      <c r="C829" s="655"/>
    </row>
    <row r="830" spans="2:3">
      <c r="B830" s="655"/>
      <c r="C830" s="655"/>
    </row>
    <row r="831" spans="2:3">
      <c r="B831" s="655"/>
      <c r="C831" s="655"/>
    </row>
    <row r="832" spans="2:3">
      <c r="B832" s="655"/>
      <c r="C832" s="655"/>
    </row>
    <row r="833" spans="2:3">
      <c r="B833" s="655"/>
      <c r="C833" s="655"/>
    </row>
    <row r="834" spans="2:3">
      <c r="B834" s="655"/>
      <c r="C834" s="655"/>
    </row>
    <row r="835" spans="2:3">
      <c r="B835" s="655"/>
      <c r="C835" s="655"/>
    </row>
    <row r="836" spans="2:3">
      <c r="B836" s="655"/>
      <c r="C836" s="655"/>
    </row>
    <row r="837" spans="2:3">
      <c r="B837" s="655"/>
      <c r="C837" s="655"/>
    </row>
    <row r="838" spans="2:3">
      <c r="B838" s="655"/>
      <c r="C838" s="655"/>
    </row>
    <row r="839" spans="2:3">
      <c r="B839" s="655"/>
      <c r="C839" s="655"/>
    </row>
    <row r="840" spans="2:3">
      <c r="B840" s="655"/>
      <c r="C840" s="655"/>
    </row>
    <row r="841" spans="2:3">
      <c r="B841" s="655"/>
      <c r="C841" s="655"/>
    </row>
    <row r="842" spans="2:3">
      <c r="B842" s="655"/>
      <c r="C842" s="655"/>
    </row>
    <row r="843" spans="2:3">
      <c r="B843" s="655"/>
      <c r="C843" s="655"/>
    </row>
    <row r="844" spans="2:3">
      <c r="B844" s="655"/>
      <c r="C844" s="655"/>
    </row>
    <row r="845" spans="2:3">
      <c r="B845" s="655"/>
      <c r="C845" s="655"/>
    </row>
    <row r="846" spans="2:3">
      <c r="B846" s="655"/>
      <c r="C846" s="655"/>
    </row>
    <row r="847" spans="2:3">
      <c r="B847" s="655"/>
      <c r="C847" s="655"/>
    </row>
    <row r="848" spans="2:3">
      <c r="B848" s="655"/>
      <c r="C848" s="655"/>
    </row>
    <row r="849" spans="2:3">
      <c r="B849" s="655"/>
      <c r="C849" s="655"/>
    </row>
    <row r="850" spans="2:3">
      <c r="B850" s="655"/>
      <c r="C850" s="655"/>
    </row>
    <row r="851" spans="2:3">
      <c r="B851" s="655"/>
      <c r="C851" s="655"/>
    </row>
    <row r="852" spans="2:3">
      <c r="B852" s="655"/>
      <c r="C852" s="655"/>
    </row>
    <row r="853" spans="2:3">
      <c r="B853" s="655"/>
      <c r="C853" s="655"/>
    </row>
    <row r="854" spans="2:3">
      <c r="B854" s="655"/>
      <c r="C854" s="655"/>
    </row>
    <row r="855" spans="2:3">
      <c r="B855" s="655"/>
      <c r="C855" s="655"/>
    </row>
    <row r="856" spans="2:3">
      <c r="B856" s="655"/>
      <c r="C856" s="655"/>
    </row>
    <row r="857" spans="2:3">
      <c r="B857" s="655"/>
      <c r="C857" s="655"/>
    </row>
    <row r="858" spans="2:3">
      <c r="B858" s="655"/>
      <c r="C858" s="655"/>
    </row>
    <row r="859" spans="2:3">
      <c r="B859" s="655"/>
      <c r="C859" s="655"/>
    </row>
    <row r="860" spans="2:3">
      <c r="B860" s="655"/>
      <c r="C860" s="655"/>
    </row>
    <row r="861" spans="2:3">
      <c r="B861" s="655"/>
      <c r="C861" s="655"/>
    </row>
    <row r="862" spans="2:3">
      <c r="B862" s="655"/>
      <c r="C862" s="655"/>
    </row>
    <row r="863" spans="2:3">
      <c r="B863" s="655"/>
      <c r="C863" s="655"/>
    </row>
    <row r="864" spans="2:3">
      <c r="B864" s="655"/>
      <c r="C864" s="655"/>
    </row>
    <row r="865" spans="2:3">
      <c r="B865" s="655"/>
      <c r="C865" s="655"/>
    </row>
    <row r="866" spans="2:3">
      <c r="B866" s="655"/>
      <c r="C866" s="655"/>
    </row>
    <row r="867" spans="2:3">
      <c r="B867" s="655"/>
      <c r="C867" s="655"/>
    </row>
    <row r="868" spans="2:3">
      <c r="B868" s="655"/>
      <c r="C868" s="655"/>
    </row>
    <row r="869" spans="2:3">
      <c r="B869" s="655"/>
      <c r="C869" s="655"/>
    </row>
    <row r="870" spans="2:3">
      <c r="B870" s="655"/>
      <c r="C870" s="655"/>
    </row>
    <row r="871" spans="2:3">
      <c r="B871" s="655"/>
      <c r="C871" s="655"/>
    </row>
    <row r="872" spans="2:3">
      <c r="B872" s="655"/>
      <c r="C872" s="655"/>
    </row>
    <row r="873" spans="2:3">
      <c r="B873" s="655"/>
      <c r="C873" s="655"/>
    </row>
    <row r="874" spans="2:3">
      <c r="B874" s="655"/>
      <c r="C874" s="655"/>
    </row>
    <row r="875" spans="2:3">
      <c r="B875" s="655"/>
      <c r="C875" s="655"/>
    </row>
    <row r="876" spans="2:3">
      <c r="B876" s="655"/>
      <c r="C876" s="655"/>
    </row>
    <row r="877" spans="2:3">
      <c r="B877" s="655"/>
      <c r="C877" s="655"/>
    </row>
    <row r="878" spans="2:3">
      <c r="B878" s="655"/>
      <c r="C878" s="655"/>
    </row>
    <row r="879" spans="2:3">
      <c r="B879" s="655"/>
      <c r="C879" s="655"/>
    </row>
    <row r="880" spans="2:3">
      <c r="B880" s="655"/>
      <c r="C880" s="655"/>
    </row>
    <row r="881" spans="2:3">
      <c r="B881" s="655"/>
      <c r="C881" s="655"/>
    </row>
    <row r="882" spans="2:3">
      <c r="B882" s="655"/>
      <c r="C882" s="655"/>
    </row>
    <row r="883" spans="2:3">
      <c r="B883" s="655"/>
      <c r="C883" s="655"/>
    </row>
    <row r="884" spans="2:3">
      <c r="B884" s="655"/>
      <c r="C884" s="655"/>
    </row>
    <row r="885" spans="2:3">
      <c r="B885" s="655"/>
      <c r="C885" s="655"/>
    </row>
    <row r="886" spans="2:3">
      <c r="B886" s="655"/>
      <c r="C886" s="655"/>
    </row>
    <row r="887" spans="2:3">
      <c r="B887" s="655"/>
      <c r="C887" s="655"/>
    </row>
    <row r="888" spans="2:3">
      <c r="B888" s="655"/>
      <c r="C888" s="655"/>
    </row>
    <row r="889" spans="2:3">
      <c r="B889" s="655"/>
      <c r="C889" s="655"/>
    </row>
    <row r="890" spans="2:3">
      <c r="B890" s="655"/>
      <c r="C890" s="655"/>
    </row>
    <row r="891" spans="2:3">
      <c r="B891" s="655"/>
      <c r="C891" s="655"/>
    </row>
    <row r="892" spans="2:3">
      <c r="B892" s="655"/>
      <c r="C892" s="655"/>
    </row>
    <row r="893" spans="2:3">
      <c r="B893" s="655"/>
      <c r="C893" s="655"/>
    </row>
    <row r="894" spans="2:3">
      <c r="B894" s="655"/>
      <c r="C894" s="655"/>
    </row>
    <row r="895" spans="2:3">
      <c r="B895" s="655"/>
      <c r="C895" s="655"/>
    </row>
    <row r="896" spans="2:3">
      <c r="B896" s="655"/>
      <c r="C896" s="655"/>
    </row>
    <row r="897" spans="2:3">
      <c r="B897" s="655"/>
      <c r="C897" s="655"/>
    </row>
    <row r="898" spans="2:3">
      <c r="B898" s="655"/>
      <c r="C898" s="655"/>
    </row>
    <row r="899" spans="2:3">
      <c r="B899" s="655"/>
      <c r="C899" s="655"/>
    </row>
    <row r="900" spans="2:3">
      <c r="B900" s="655"/>
      <c r="C900" s="655"/>
    </row>
    <row r="901" spans="2:3">
      <c r="B901" s="655"/>
      <c r="C901" s="655"/>
    </row>
    <row r="902" spans="2:3">
      <c r="B902" s="655"/>
      <c r="C902" s="655"/>
    </row>
    <row r="903" spans="2:3">
      <c r="B903" s="655"/>
      <c r="C903" s="655"/>
    </row>
    <row r="904" spans="2:3">
      <c r="B904" s="655"/>
      <c r="C904" s="655"/>
    </row>
    <row r="905" spans="2:3">
      <c r="B905" s="655"/>
      <c r="C905" s="655"/>
    </row>
    <row r="906" spans="2:3">
      <c r="B906" s="655"/>
      <c r="C906" s="655"/>
    </row>
    <row r="907" spans="2:3">
      <c r="B907" s="655"/>
      <c r="C907" s="655"/>
    </row>
    <row r="908" spans="2:3">
      <c r="B908" s="655"/>
      <c r="C908" s="655"/>
    </row>
    <row r="909" spans="2:3">
      <c r="B909" s="655"/>
      <c r="C909" s="655"/>
    </row>
    <row r="910" spans="2:3">
      <c r="B910" s="655"/>
      <c r="C910" s="655"/>
    </row>
    <row r="911" spans="2:3">
      <c r="B911" s="655"/>
      <c r="C911" s="655"/>
    </row>
    <row r="912" spans="2:3">
      <c r="B912" s="655"/>
      <c r="C912" s="655"/>
    </row>
    <row r="913" spans="2:3">
      <c r="B913" s="655"/>
      <c r="C913" s="655"/>
    </row>
    <row r="914" spans="2:3">
      <c r="B914" s="655"/>
      <c r="C914" s="655"/>
    </row>
    <row r="915" spans="2:3">
      <c r="B915" s="655"/>
      <c r="C915" s="655"/>
    </row>
    <row r="916" spans="2:3">
      <c r="B916" s="655"/>
      <c r="C916" s="655"/>
    </row>
    <row r="917" spans="2:3">
      <c r="B917" s="655"/>
      <c r="C917" s="655"/>
    </row>
    <row r="918" spans="2:3">
      <c r="B918" s="655"/>
      <c r="C918" s="655"/>
    </row>
    <row r="919" spans="2:3">
      <c r="B919" s="655"/>
      <c r="C919" s="655"/>
    </row>
    <row r="920" spans="2:3">
      <c r="B920" s="655"/>
      <c r="C920" s="655"/>
    </row>
    <row r="921" spans="2:3">
      <c r="B921" s="655"/>
      <c r="C921" s="655"/>
    </row>
    <row r="922" spans="2:3">
      <c r="B922" s="655"/>
      <c r="C922" s="655"/>
    </row>
    <row r="923" spans="2:3">
      <c r="B923" s="655"/>
      <c r="C923" s="655"/>
    </row>
    <row r="924" spans="2:3">
      <c r="B924" s="655"/>
      <c r="C924" s="655"/>
    </row>
    <row r="925" spans="2:3">
      <c r="B925" s="655"/>
      <c r="C925" s="655"/>
    </row>
    <row r="926" spans="2:3">
      <c r="B926" s="655"/>
      <c r="C926" s="655"/>
    </row>
    <row r="927" spans="2:3">
      <c r="B927" s="655"/>
      <c r="C927" s="655"/>
    </row>
    <row r="928" spans="2:3">
      <c r="B928" s="655"/>
      <c r="C928" s="655"/>
    </row>
    <row r="929" spans="2:3">
      <c r="B929" s="655"/>
      <c r="C929" s="655"/>
    </row>
    <row r="930" spans="2:3">
      <c r="B930" s="655"/>
      <c r="C930" s="655"/>
    </row>
    <row r="931" spans="2:3">
      <c r="B931" s="655"/>
      <c r="C931" s="655"/>
    </row>
    <row r="932" spans="2:3">
      <c r="B932" s="655"/>
      <c r="C932" s="655"/>
    </row>
    <row r="933" spans="2:3">
      <c r="B933" s="655"/>
      <c r="C933" s="655"/>
    </row>
    <row r="934" spans="2:3">
      <c r="B934" s="655"/>
      <c r="C934" s="655"/>
    </row>
    <row r="935" spans="2:3">
      <c r="B935" s="655"/>
      <c r="C935" s="655"/>
    </row>
    <row r="936" spans="2:3">
      <c r="B936" s="655"/>
      <c r="C936" s="655"/>
    </row>
    <row r="937" spans="2:3">
      <c r="B937" s="655"/>
      <c r="C937" s="655"/>
    </row>
    <row r="938" spans="2:3">
      <c r="B938" s="655"/>
      <c r="C938" s="655"/>
    </row>
    <row r="939" spans="2:3">
      <c r="B939" s="655"/>
      <c r="C939" s="655"/>
    </row>
    <row r="940" spans="2:3">
      <c r="B940" s="655"/>
      <c r="C940" s="655"/>
    </row>
    <row r="941" spans="2:3">
      <c r="B941" s="655"/>
      <c r="C941" s="655"/>
    </row>
    <row r="942" spans="2:3">
      <c r="B942" s="655"/>
      <c r="C942" s="655"/>
    </row>
    <row r="943" spans="2:3">
      <c r="B943" s="655"/>
      <c r="C943" s="655"/>
    </row>
    <row r="944" spans="2:3">
      <c r="B944" s="655"/>
      <c r="C944" s="655"/>
    </row>
    <row r="945" spans="2:3">
      <c r="B945" s="655"/>
      <c r="C945" s="655"/>
    </row>
    <row r="946" spans="2:3">
      <c r="B946" s="655"/>
      <c r="C946" s="655"/>
    </row>
    <row r="947" spans="2:3">
      <c r="B947" s="655"/>
      <c r="C947" s="655"/>
    </row>
    <row r="948" spans="2:3">
      <c r="B948" s="655"/>
      <c r="C948" s="655"/>
    </row>
    <row r="949" spans="2:3">
      <c r="B949" s="655"/>
      <c r="C949" s="655"/>
    </row>
    <row r="950" spans="2:3">
      <c r="B950" s="655"/>
      <c r="C950" s="655"/>
    </row>
    <row r="951" spans="2:3">
      <c r="B951" s="655"/>
      <c r="C951" s="655"/>
    </row>
    <row r="952" spans="2:3">
      <c r="B952" s="655"/>
      <c r="C952" s="655"/>
    </row>
    <row r="953" spans="2:3">
      <c r="B953" s="655"/>
      <c r="C953" s="655"/>
    </row>
    <row r="954" spans="2:3">
      <c r="B954" s="655"/>
      <c r="C954" s="655"/>
    </row>
    <row r="955" spans="2:3">
      <c r="B955" s="655"/>
      <c r="C955" s="655"/>
    </row>
    <row r="956" spans="2:3">
      <c r="B956" s="655"/>
      <c r="C956" s="655"/>
    </row>
    <row r="957" spans="2:3">
      <c r="B957" s="655"/>
      <c r="C957" s="655"/>
    </row>
    <row r="958" spans="2:3">
      <c r="B958" s="655"/>
      <c r="C958" s="655"/>
    </row>
    <row r="959" spans="2:3">
      <c r="B959" s="655"/>
      <c r="C959" s="655"/>
    </row>
    <row r="960" spans="2:3">
      <c r="B960" s="655"/>
      <c r="C960" s="655"/>
    </row>
    <row r="961" spans="2:3">
      <c r="B961" s="655"/>
      <c r="C961" s="655"/>
    </row>
    <row r="962" spans="2:3">
      <c r="B962" s="655"/>
      <c r="C962" s="655"/>
    </row>
    <row r="963" spans="2:3">
      <c r="B963" s="655"/>
      <c r="C963" s="655"/>
    </row>
    <row r="964" spans="2:3">
      <c r="B964" s="655"/>
      <c r="C964" s="655"/>
    </row>
    <row r="965" spans="2:3">
      <c r="B965" s="655"/>
      <c r="C965" s="655"/>
    </row>
    <row r="966" spans="2:3">
      <c r="B966" s="655"/>
      <c r="C966" s="655"/>
    </row>
    <row r="967" spans="2:3">
      <c r="B967" s="655"/>
      <c r="C967" s="655"/>
    </row>
    <row r="968" spans="2:3">
      <c r="B968" s="655"/>
      <c r="C968" s="655"/>
    </row>
    <row r="969" spans="2:3">
      <c r="B969" s="655"/>
      <c r="C969" s="655"/>
    </row>
    <row r="970" spans="2:3">
      <c r="B970" s="655"/>
      <c r="C970" s="655"/>
    </row>
    <row r="971" spans="2:3">
      <c r="B971" s="655"/>
      <c r="C971" s="655"/>
    </row>
    <row r="972" spans="2:3">
      <c r="B972" s="655"/>
      <c r="C972" s="655"/>
    </row>
    <row r="973" spans="2:3">
      <c r="B973" s="655"/>
      <c r="C973" s="655"/>
    </row>
    <row r="974" spans="2:3">
      <c r="B974" s="655"/>
      <c r="C974" s="655"/>
    </row>
    <row r="975" spans="2:3">
      <c r="B975" s="655"/>
      <c r="C975" s="655"/>
    </row>
    <row r="976" spans="2:3">
      <c r="B976" s="655"/>
      <c r="C976" s="655"/>
    </row>
    <row r="977" spans="2:3">
      <c r="B977" s="655"/>
      <c r="C977" s="655"/>
    </row>
    <row r="978" spans="2:3">
      <c r="B978" s="655"/>
      <c r="C978" s="655"/>
    </row>
    <row r="979" spans="2:3">
      <c r="B979" s="655"/>
      <c r="C979" s="655"/>
    </row>
    <row r="980" spans="2:3">
      <c r="B980" s="655"/>
      <c r="C980" s="655"/>
    </row>
    <row r="981" spans="2:3">
      <c r="B981" s="655"/>
      <c r="C981" s="655"/>
    </row>
    <row r="982" spans="2:3">
      <c r="B982" s="655"/>
      <c r="C982" s="655"/>
    </row>
    <row r="983" spans="2:3">
      <c r="B983" s="655"/>
      <c r="C983" s="655"/>
    </row>
    <row r="984" spans="2:3">
      <c r="B984" s="655"/>
      <c r="C984" s="655"/>
    </row>
    <row r="985" spans="2:3">
      <c r="B985" s="655"/>
      <c r="C985" s="655"/>
    </row>
    <row r="986" spans="2:3">
      <c r="B986" s="655"/>
      <c r="C986" s="655"/>
    </row>
    <row r="987" spans="2:3">
      <c r="B987" s="655"/>
      <c r="C987" s="655"/>
    </row>
    <row r="988" spans="2:3">
      <c r="B988" s="655"/>
      <c r="C988" s="655"/>
    </row>
    <row r="989" spans="2:3">
      <c r="B989" s="655"/>
      <c r="C989" s="655"/>
    </row>
    <row r="990" spans="2:3">
      <c r="B990" s="655"/>
      <c r="C990" s="655"/>
    </row>
    <row r="991" spans="2:3">
      <c r="B991" s="655"/>
      <c r="C991" s="655"/>
    </row>
    <row r="992" spans="2:3">
      <c r="B992" s="655"/>
      <c r="C992" s="655"/>
    </row>
    <row r="993" spans="2:3">
      <c r="B993" s="655"/>
      <c r="C993" s="655"/>
    </row>
    <row r="994" spans="2:3">
      <c r="B994" s="655"/>
      <c r="C994" s="655"/>
    </row>
    <row r="995" spans="2:3">
      <c r="B995" s="655"/>
      <c r="C995" s="655"/>
    </row>
    <row r="996" spans="2:3">
      <c r="B996" s="655"/>
      <c r="C996" s="655"/>
    </row>
    <row r="997" spans="2:3">
      <c r="B997" s="655"/>
      <c r="C997" s="655"/>
    </row>
    <row r="998" spans="2:3">
      <c r="B998" s="655"/>
      <c r="C998" s="655"/>
    </row>
    <row r="999" spans="2:3">
      <c r="B999" s="655"/>
      <c r="C999" s="655"/>
    </row>
    <row r="1000" spans="2:3">
      <c r="B1000" s="655"/>
      <c r="C1000" s="655"/>
    </row>
    <row r="1001" spans="2:3">
      <c r="B1001" s="655"/>
      <c r="C1001" s="655"/>
    </row>
    <row r="1002" spans="2:3">
      <c r="B1002" s="655"/>
      <c r="C1002" s="655"/>
    </row>
    <row r="1003" spans="2:3">
      <c r="B1003" s="655"/>
      <c r="C1003" s="655"/>
    </row>
    <row r="1004" spans="2:3">
      <c r="B1004" s="655"/>
      <c r="C1004" s="655"/>
    </row>
    <row r="1005" spans="2:3">
      <c r="B1005" s="655"/>
      <c r="C1005" s="655"/>
    </row>
    <row r="1006" spans="2:3">
      <c r="B1006" s="655"/>
      <c r="C1006" s="655"/>
    </row>
    <row r="1007" spans="2:3">
      <c r="B1007" s="655"/>
      <c r="C1007" s="655"/>
    </row>
    <row r="1008" spans="2:3">
      <c r="B1008" s="655"/>
      <c r="C1008" s="655"/>
    </row>
    <row r="1009" spans="2:3">
      <c r="B1009" s="655"/>
      <c r="C1009" s="655"/>
    </row>
    <row r="1010" spans="2:3">
      <c r="B1010" s="655"/>
      <c r="C1010" s="655"/>
    </row>
    <row r="1011" spans="2:3">
      <c r="B1011" s="655"/>
      <c r="C1011" s="655"/>
    </row>
    <row r="1012" spans="2:3">
      <c r="B1012" s="655"/>
      <c r="C1012" s="655"/>
    </row>
    <row r="1013" spans="2:3">
      <c r="B1013" s="655"/>
      <c r="C1013" s="655"/>
    </row>
    <row r="1014" spans="2:3">
      <c r="B1014" s="655"/>
      <c r="C1014" s="655"/>
    </row>
    <row r="1015" spans="2:3">
      <c r="B1015" s="655"/>
      <c r="C1015" s="655"/>
    </row>
    <row r="1016" spans="2:3">
      <c r="B1016" s="655"/>
      <c r="C1016" s="655"/>
    </row>
    <row r="1017" spans="2:3">
      <c r="B1017" s="655"/>
      <c r="C1017" s="655"/>
    </row>
    <row r="1018" spans="2:3">
      <c r="B1018" s="655"/>
      <c r="C1018" s="655"/>
    </row>
    <row r="1019" spans="2:3">
      <c r="B1019" s="655"/>
      <c r="C1019" s="655"/>
    </row>
    <row r="1020" spans="2:3">
      <c r="B1020" s="655"/>
      <c r="C1020" s="655"/>
    </row>
    <row r="1021" spans="2:3">
      <c r="B1021" s="655"/>
      <c r="C1021" s="655"/>
    </row>
    <row r="1022" spans="2:3">
      <c r="B1022" s="655"/>
      <c r="C1022" s="655"/>
    </row>
    <row r="1023" spans="2:3">
      <c r="B1023" s="655"/>
      <c r="C1023" s="655"/>
    </row>
    <row r="1024" spans="2:3">
      <c r="B1024" s="655"/>
      <c r="C1024" s="655"/>
    </row>
    <row r="1025" spans="2:3">
      <c r="B1025" s="655"/>
      <c r="C1025" s="655"/>
    </row>
    <row r="1026" spans="2:3">
      <c r="B1026" s="655"/>
      <c r="C1026" s="655"/>
    </row>
    <row r="1027" spans="2:3">
      <c r="B1027" s="655"/>
      <c r="C1027" s="655"/>
    </row>
    <row r="1028" spans="2:3">
      <c r="B1028" s="655"/>
      <c r="C1028" s="655"/>
    </row>
    <row r="1029" spans="2:3">
      <c r="B1029" s="655"/>
      <c r="C1029" s="655"/>
    </row>
    <row r="1030" spans="2:3">
      <c r="B1030" s="655"/>
      <c r="C1030" s="655"/>
    </row>
    <row r="1031" spans="2:3">
      <c r="B1031" s="655"/>
      <c r="C1031" s="655"/>
    </row>
    <row r="1032" spans="2:3">
      <c r="B1032" s="655"/>
      <c r="C1032" s="655"/>
    </row>
    <row r="1033" spans="2:3">
      <c r="B1033" s="655"/>
      <c r="C1033" s="655"/>
    </row>
    <row r="1034" spans="2:3">
      <c r="B1034" s="655"/>
      <c r="C1034" s="655"/>
    </row>
    <row r="1035" spans="2:3">
      <c r="B1035" s="655"/>
      <c r="C1035" s="655"/>
    </row>
    <row r="1036" spans="2:3">
      <c r="B1036" s="655"/>
      <c r="C1036" s="655"/>
    </row>
    <row r="1037" spans="2:3">
      <c r="B1037" s="655"/>
      <c r="C1037" s="655"/>
    </row>
    <row r="1038" spans="2:3">
      <c r="B1038" s="655"/>
      <c r="C1038" s="655"/>
    </row>
    <row r="1039" spans="2:3">
      <c r="B1039" s="655"/>
      <c r="C1039" s="655"/>
    </row>
    <row r="1040" spans="2:3">
      <c r="B1040" s="655"/>
      <c r="C1040" s="655"/>
    </row>
    <row r="1041" spans="2:3">
      <c r="B1041" s="655"/>
      <c r="C1041" s="655"/>
    </row>
    <row r="1042" spans="2:3">
      <c r="B1042" s="655"/>
      <c r="C1042" s="655"/>
    </row>
    <row r="1043" spans="2:3">
      <c r="B1043" s="655"/>
      <c r="C1043" s="655"/>
    </row>
    <row r="1044" spans="2:3">
      <c r="B1044" s="655"/>
      <c r="C1044" s="655"/>
    </row>
    <row r="1045" spans="2:3">
      <c r="B1045" s="655"/>
      <c r="C1045" s="655"/>
    </row>
    <row r="1046" spans="2:3">
      <c r="B1046" s="655"/>
      <c r="C1046" s="655"/>
    </row>
    <row r="1047" spans="2:3">
      <c r="B1047" s="655"/>
      <c r="C1047" s="655"/>
    </row>
    <row r="1048" spans="2:3">
      <c r="B1048" s="655"/>
      <c r="C1048" s="655"/>
    </row>
    <row r="1049" spans="2:3">
      <c r="B1049" s="655"/>
      <c r="C1049" s="655"/>
    </row>
    <row r="1050" spans="2:3">
      <c r="B1050" s="655"/>
      <c r="C1050" s="655"/>
    </row>
    <row r="1051" spans="2:3">
      <c r="B1051" s="655"/>
      <c r="C1051" s="655"/>
    </row>
    <row r="1052" spans="2:3">
      <c r="B1052" s="655"/>
      <c r="C1052" s="655"/>
    </row>
    <row r="1053" spans="2:3">
      <c r="B1053" s="655"/>
      <c r="C1053" s="655"/>
    </row>
    <row r="1054" spans="2:3">
      <c r="B1054" s="655"/>
      <c r="C1054" s="655"/>
    </row>
    <row r="1055" spans="2:3">
      <c r="B1055" s="655"/>
      <c r="C1055" s="655"/>
    </row>
    <row r="1056" spans="2:3">
      <c r="B1056" s="655"/>
      <c r="C1056" s="655"/>
    </row>
    <row r="1057" spans="2:3">
      <c r="B1057" s="655"/>
      <c r="C1057" s="655"/>
    </row>
    <row r="1058" spans="2:3">
      <c r="B1058" s="655"/>
      <c r="C1058" s="655"/>
    </row>
    <row r="1059" spans="2:3">
      <c r="B1059" s="655"/>
      <c r="C1059" s="655"/>
    </row>
    <row r="1060" spans="2:3">
      <c r="B1060" s="655"/>
      <c r="C1060" s="655"/>
    </row>
    <row r="1061" spans="2:3">
      <c r="B1061" s="655"/>
      <c r="C1061" s="655"/>
    </row>
    <row r="1062" spans="2:3">
      <c r="B1062" s="655"/>
      <c r="C1062" s="655"/>
    </row>
    <row r="1063" spans="2:3">
      <c r="B1063" s="655"/>
      <c r="C1063" s="655"/>
    </row>
    <row r="1064" spans="2:3">
      <c r="B1064" s="655"/>
      <c r="C1064" s="655"/>
    </row>
    <row r="1065" spans="2:3">
      <c r="B1065" s="655"/>
      <c r="C1065" s="655"/>
    </row>
    <row r="1066" spans="2:3">
      <c r="B1066" s="655"/>
      <c r="C1066" s="655"/>
    </row>
    <row r="1067" spans="2:3">
      <c r="B1067" s="655"/>
      <c r="C1067" s="655"/>
    </row>
    <row r="1068" spans="2:3">
      <c r="B1068" s="655"/>
      <c r="C1068" s="655"/>
    </row>
    <row r="1069" spans="2:3">
      <c r="B1069" s="655"/>
      <c r="C1069" s="655"/>
    </row>
    <row r="1070" spans="2:3">
      <c r="B1070" s="655"/>
      <c r="C1070" s="655"/>
    </row>
    <row r="1071" spans="2:3">
      <c r="B1071" s="655"/>
      <c r="C1071" s="655"/>
    </row>
    <row r="1072" spans="2:3">
      <c r="B1072" s="655"/>
      <c r="C1072" s="655"/>
    </row>
    <row r="1073" spans="2:3">
      <c r="B1073" s="655"/>
      <c r="C1073" s="655"/>
    </row>
    <row r="1074" spans="2:3">
      <c r="B1074" s="655"/>
      <c r="C1074" s="655"/>
    </row>
    <row r="1075" spans="2:3">
      <c r="B1075" s="655"/>
      <c r="C1075" s="655"/>
    </row>
    <row r="1076" spans="2:3">
      <c r="B1076" s="655"/>
      <c r="C1076" s="655"/>
    </row>
    <row r="1077" spans="2:3">
      <c r="B1077" s="655"/>
      <c r="C1077" s="655"/>
    </row>
    <row r="1078" spans="2:3">
      <c r="B1078" s="655"/>
      <c r="C1078" s="655"/>
    </row>
    <row r="1079" spans="2:3">
      <c r="B1079" s="655"/>
      <c r="C1079" s="655"/>
    </row>
    <row r="1080" spans="2:3">
      <c r="B1080" s="655"/>
      <c r="C1080" s="655"/>
    </row>
    <row r="1081" spans="2:3">
      <c r="B1081" s="655"/>
      <c r="C1081" s="655"/>
    </row>
    <row r="1082" spans="2:3">
      <c r="B1082" s="655"/>
      <c r="C1082" s="655"/>
    </row>
    <row r="1083" spans="2:3">
      <c r="B1083" s="655"/>
      <c r="C1083" s="655"/>
    </row>
    <row r="1084" spans="2:3">
      <c r="B1084" s="655"/>
      <c r="C1084" s="655"/>
    </row>
    <row r="1085" spans="2:3">
      <c r="B1085" s="655"/>
      <c r="C1085" s="655"/>
    </row>
    <row r="1086" spans="2:3">
      <c r="B1086" s="655"/>
      <c r="C1086" s="655"/>
    </row>
    <row r="1087" spans="2:3">
      <c r="B1087" s="655"/>
      <c r="C1087" s="655"/>
    </row>
    <row r="1088" spans="2:3">
      <c r="B1088" s="655"/>
      <c r="C1088" s="655"/>
    </row>
    <row r="1089" spans="2:3">
      <c r="B1089" s="655"/>
      <c r="C1089" s="655"/>
    </row>
    <row r="1090" spans="2:3">
      <c r="B1090" s="655"/>
      <c r="C1090" s="655"/>
    </row>
    <row r="1091" spans="2:3">
      <c r="B1091" s="655"/>
      <c r="C1091" s="655"/>
    </row>
    <row r="1092" spans="2:3">
      <c r="B1092" s="655"/>
      <c r="C1092" s="655"/>
    </row>
    <row r="1093" spans="2:3">
      <c r="B1093" s="655"/>
      <c r="C1093" s="655"/>
    </row>
    <row r="1094" spans="2:3">
      <c r="B1094" s="655"/>
      <c r="C1094" s="655"/>
    </row>
    <row r="1095" spans="2:3">
      <c r="B1095" s="655"/>
      <c r="C1095" s="655"/>
    </row>
    <row r="1096" spans="2:3">
      <c r="B1096" s="655"/>
      <c r="C1096" s="655"/>
    </row>
    <row r="1097" spans="2:3">
      <c r="B1097" s="655"/>
      <c r="C1097" s="655"/>
    </row>
    <row r="1098" spans="2:3">
      <c r="B1098" s="655"/>
      <c r="C1098" s="655"/>
    </row>
    <row r="1099" spans="2:3">
      <c r="B1099" s="655"/>
      <c r="C1099" s="655"/>
    </row>
    <row r="1100" spans="2:3">
      <c r="B1100" s="655"/>
      <c r="C1100" s="655"/>
    </row>
    <row r="1101" spans="2:3">
      <c r="B1101" s="655"/>
      <c r="C1101" s="655"/>
    </row>
    <row r="1102" spans="2:3">
      <c r="B1102" s="655"/>
      <c r="C1102" s="655"/>
    </row>
    <row r="1103" spans="2:3">
      <c r="B1103" s="655"/>
      <c r="C1103" s="655"/>
    </row>
    <row r="1104" spans="2:3">
      <c r="B1104" s="655"/>
      <c r="C1104" s="655"/>
    </row>
    <row r="1105" spans="2:3">
      <c r="B1105" s="655"/>
      <c r="C1105" s="655"/>
    </row>
    <row r="1106" spans="2:3">
      <c r="B1106" s="655"/>
      <c r="C1106" s="655"/>
    </row>
    <row r="1107" spans="2:3">
      <c r="B1107" s="655"/>
      <c r="C1107" s="655"/>
    </row>
    <row r="1108" spans="2:3">
      <c r="B1108" s="655"/>
      <c r="C1108" s="655"/>
    </row>
    <row r="1109" spans="2:3">
      <c r="B1109" s="655"/>
      <c r="C1109" s="655"/>
    </row>
    <row r="1110" spans="2:3">
      <c r="B1110" s="655"/>
      <c r="C1110" s="655"/>
    </row>
    <row r="1111" spans="2:3">
      <c r="B1111" s="655"/>
      <c r="C1111" s="655"/>
    </row>
    <row r="1112" spans="2:3">
      <c r="B1112" s="655"/>
      <c r="C1112" s="655"/>
    </row>
    <row r="1113" spans="2:3">
      <c r="B1113" s="655"/>
      <c r="C1113" s="655"/>
    </row>
    <row r="1114" spans="2:3">
      <c r="B1114" s="655"/>
      <c r="C1114" s="655"/>
    </row>
    <row r="1115" spans="2:3">
      <c r="B1115" s="655"/>
      <c r="C1115" s="655"/>
    </row>
    <row r="1116" spans="2:3">
      <c r="B1116" s="655"/>
      <c r="C1116" s="655"/>
    </row>
    <row r="1117" spans="2:3">
      <c r="B1117" s="655"/>
      <c r="C1117" s="655"/>
    </row>
    <row r="1118" spans="2:3">
      <c r="B1118" s="655"/>
      <c r="C1118" s="655"/>
    </row>
    <row r="1119" spans="2:3">
      <c r="B1119" s="655"/>
      <c r="C1119" s="655"/>
    </row>
    <row r="1120" spans="2:3">
      <c r="B1120" s="655"/>
      <c r="C1120" s="655"/>
    </row>
    <row r="1121" spans="2:3">
      <c r="B1121" s="655"/>
      <c r="C1121" s="655"/>
    </row>
    <row r="1122" spans="2:3">
      <c r="B1122" s="655"/>
      <c r="C1122" s="655"/>
    </row>
    <row r="1123" spans="2:3">
      <c r="B1123" s="655"/>
      <c r="C1123" s="655"/>
    </row>
    <row r="1124" spans="2:3">
      <c r="B1124" s="655"/>
      <c r="C1124" s="655"/>
    </row>
    <row r="1125" spans="2:3">
      <c r="B1125" s="655"/>
      <c r="C1125" s="655"/>
    </row>
    <row r="1126" spans="2:3">
      <c r="B1126" s="655"/>
      <c r="C1126" s="655"/>
    </row>
    <row r="1127" spans="2:3">
      <c r="B1127" s="655"/>
      <c r="C1127" s="655"/>
    </row>
    <row r="1128" spans="2:3">
      <c r="B1128" s="655"/>
      <c r="C1128" s="655"/>
    </row>
    <row r="1129" spans="2:3">
      <c r="B1129" s="655"/>
      <c r="C1129" s="655"/>
    </row>
    <row r="1130" spans="2:3">
      <c r="B1130" s="655"/>
      <c r="C1130" s="655"/>
    </row>
    <row r="1131" spans="2:3">
      <c r="B1131" s="655"/>
      <c r="C1131" s="655"/>
    </row>
    <row r="1132" spans="2:3">
      <c r="B1132" s="655"/>
      <c r="C1132" s="655"/>
    </row>
    <row r="1133" spans="2:3">
      <c r="B1133" s="655"/>
      <c r="C1133" s="655"/>
    </row>
    <row r="1134" spans="2:3">
      <c r="B1134" s="655"/>
      <c r="C1134" s="655"/>
    </row>
    <row r="1135" spans="2:3">
      <c r="B1135" s="655"/>
      <c r="C1135" s="655"/>
    </row>
    <row r="1136" spans="2:3">
      <c r="B1136" s="655"/>
      <c r="C1136" s="655"/>
    </row>
    <row r="1137" spans="2:3">
      <c r="B1137" s="655"/>
      <c r="C1137" s="655"/>
    </row>
    <row r="1138" spans="2:3">
      <c r="B1138" s="655"/>
      <c r="C1138" s="655"/>
    </row>
    <row r="1139" spans="2:3">
      <c r="B1139" s="655"/>
      <c r="C1139" s="655"/>
    </row>
    <row r="1140" spans="2:3">
      <c r="B1140" s="655"/>
      <c r="C1140" s="655"/>
    </row>
    <row r="1141" spans="2:3">
      <c r="B1141" s="655"/>
      <c r="C1141" s="655"/>
    </row>
    <row r="1142" spans="2:3">
      <c r="B1142" s="655"/>
      <c r="C1142" s="655"/>
    </row>
    <row r="1143" spans="2:3">
      <c r="B1143" s="655"/>
      <c r="C1143" s="655"/>
    </row>
    <row r="1144" spans="2:3">
      <c r="B1144" s="655"/>
      <c r="C1144" s="655"/>
    </row>
    <row r="1145" spans="2:3">
      <c r="B1145" s="655"/>
      <c r="C1145" s="655"/>
    </row>
    <row r="1146" spans="2:3">
      <c r="B1146" s="655"/>
      <c r="C1146" s="655"/>
    </row>
    <row r="1147" spans="2:3">
      <c r="B1147" s="655"/>
      <c r="C1147" s="655"/>
    </row>
    <row r="1148" spans="2:3">
      <c r="B1148" s="655"/>
      <c r="C1148" s="655"/>
    </row>
    <row r="1149" spans="2:3">
      <c r="B1149" s="655"/>
      <c r="C1149" s="655"/>
    </row>
    <row r="1150" spans="2:3">
      <c r="B1150" s="655"/>
      <c r="C1150" s="655"/>
    </row>
    <row r="1151" spans="2:3">
      <c r="B1151" s="655"/>
      <c r="C1151" s="655"/>
    </row>
    <row r="1152" spans="2:3">
      <c r="B1152" s="655"/>
      <c r="C1152" s="655"/>
    </row>
    <row r="1153" spans="2:3">
      <c r="B1153" s="655"/>
      <c r="C1153" s="655"/>
    </row>
    <row r="1154" spans="2:3">
      <c r="B1154" s="655"/>
      <c r="C1154" s="655"/>
    </row>
    <row r="1155" spans="2:3">
      <c r="B1155" s="655"/>
      <c r="C1155" s="655"/>
    </row>
    <row r="1156" spans="2:3">
      <c r="B1156" s="655"/>
      <c r="C1156" s="655"/>
    </row>
    <row r="1157" spans="2:3">
      <c r="B1157" s="655"/>
      <c r="C1157" s="655"/>
    </row>
    <row r="1158" spans="2:3">
      <c r="B1158" s="655"/>
      <c r="C1158" s="655"/>
    </row>
    <row r="1159" spans="2:3">
      <c r="B1159" s="655"/>
      <c r="C1159" s="655"/>
    </row>
    <row r="1160" spans="2:3">
      <c r="B1160" s="655"/>
      <c r="C1160" s="655"/>
    </row>
    <row r="1161" spans="2:3">
      <c r="B1161" s="655"/>
      <c r="C1161" s="655"/>
    </row>
    <row r="1162" spans="2:3">
      <c r="B1162" s="655"/>
      <c r="C1162" s="655"/>
    </row>
    <row r="1163" spans="2:3">
      <c r="B1163" s="655"/>
      <c r="C1163" s="655"/>
    </row>
    <row r="1164" spans="2:3">
      <c r="B1164" s="655"/>
      <c r="C1164" s="655"/>
    </row>
    <row r="1165" spans="2:3">
      <c r="B1165" s="655"/>
      <c r="C1165" s="655"/>
    </row>
    <row r="1166" spans="2:3">
      <c r="B1166" s="655"/>
      <c r="C1166" s="655"/>
    </row>
    <row r="1167" spans="2:3">
      <c r="B1167" s="655"/>
      <c r="C1167" s="655"/>
    </row>
    <row r="1168" spans="2:3">
      <c r="B1168" s="655"/>
      <c r="C1168" s="655"/>
    </row>
    <row r="1169" spans="2:3">
      <c r="B1169" s="655"/>
      <c r="C1169" s="655"/>
    </row>
    <row r="1170" spans="2:3">
      <c r="B1170" s="655"/>
      <c r="C1170" s="655"/>
    </row>
    <row r="1171" spans="2:3">
      <c r="B1171" s="655"/>
      <c r="C1171" s="655"/>
    </row>
    <row r="1172" spans="2:3">
      <c r="B1172" s="655"/>
      <c r="C1172" s="655"/>
    </row>
    <row r="1173" spans="2:3">
      <c r="B1173" s="655"/>
      <c r="C1173" s="655"/>
    </row>
    <row r="1174" spans="2:3">
      <c r="B1174" s="655"/>
      <c r="C1174" s="655"/>
    </row>
    <row r="1175" spans="2:3">
      <c r="B1175" s="655"/>
      <c r="C1175" s="655"/>
    </row>
    <row r="1176" spans="2:3">
      <c r="B1176" s="655"/>
      <c r="C1176" s="655"/>
    </row>
    <row r="1177" spans="2:3">
      <c r="B1177" s="655"/>
      <c r="C1177" s="655"/>
    </row>
    <row r="1178" spans="2:3">
      <c r="B1178" s="655"/>
      <c r="C1178" s="655"/>
    </row>
    <row r="1179" spans="2:3">
      <c r="B1179" s="655"/>
      <c r="C1179" s="655"/>
    </row>
    <row r="1180" spans="2:3">
      <c r="B1180" s="655"/>
      <c r="C1180" s="655"/>
    </row>
    <row r="1181" spans="2:3">
      <c r="B1181" s="655"/>
      <c r="C1181" s="655"/>
    </row>
    <row r="1182" spans="2:3">
      <c r="B1182" s="655"/>
      <c r="C1182" s="655"/>
    </row>
    <row r="1183" spans="2:3">
      <c r="B1183" s="655"/>
      <c r="C1183" s="655"/>
    </row>
    <row r="1184" spans="2:3">
      <c r="B1184" s="655"/>
      <c r="C1184" s="655"/>
    </row>
    <row r="1185" spans="2:3">
      <c r="B1185" s="655"/>
      <c r="C1185" s="655"/>
    </row>
    <row r="1186" spans="2:3">
      <c r="B1186" s="655"/>
      <c r="C1186" s="655"/>
    </row>
    <row r="1187" spans="2:3">
      <c r="B1187" s="655"/>
      <c r="C1187" s="655"/>
    </row>
    <row r="1188" spans="2:3">
      <c r="B1188" s="655"/>
      <c r="C1188" s="655"/>
    </row>
    <row r="1189" spans="2:3">
      <c r="B1189" s="655"/>
      <c r="C1189" s="655"/>
    </row>
    <row r="1190" spans="2:3">
      <c r="B1190" s="655"/>
      <c r="C1190" s="655"/>
    </row>
    <row r="1191" spans="2:3">
      <c r="B1191" s="655"/>
      <c r="C1191" s="655"/>
    </row>
    <row r="1192" spans="2:3">
      <c r="B1192" s="655"/>
      <c r="C1192" s="655"/>
    </row>
    <row r="1193" spans="2:3">
      <c r="B1193" s="655"/>
      <c r="C1193" s="655"/>
    </row>
    <row r="1194" spans="2:3">
      <c r="B1194" s="655"/>
      <c r="C1194" s="655"/>
    </row>
    <row r="1195" spans="2:3">
      <c r="B1195" s="655"/>
      <c r="C1195" s="655"/>
    </row>
    <row r="1196" spans="2:3">
      <c r="B1196" s="655"/>
      <c r="C1196" s="655"/>
    </row>
    <row r="1197" spans="2:3">
      <c r="B1197" s="655"/>
      <c r="C1197" s="655"/>
    </row>
    <row r="1198" spans="2:3">
      <c r="B1198" s="655"/>
      <c r="C1198" s="655"/>
    </row>
    <row r="1199" spans="2:3">
      <c r="B1199" s="655"/>
      <c r="C1199" s="655"/>
    </row>
    <row r="1200" spans="2:3">
      <c r="B1200" s="655"/>
      <c r="C1200" s="655"/>
    </row>
    <row r="1201" spans="2:3">
      <c r="B1201" s="655"/>
      <c r="C1201" s="655"/>
    </row>
    <row r="1202" spans="2:3">
      <c r="B1202" s="655"/>
      <c r="C1202" s="655"/>
    </row>
    <row r="1203" spans="2:3">
      <c r="B1203" s="655"/>
      <c r="C1203" s="655"/>
    </row>
    <row r="1204" spans="2:3">
      <c r="B1204" s="655"/>
      <c r="C1204" s="655"/>
    </row>
    <row r="1205" spans="2:3">
      <c r="B1205" s="655"/>
      <c r="C1205" s="655"/>
    </row>
    <row r="1206" spans="2:3">
      <c r="B1206" s="655"/>
      <c r="C1206" s="655"/>
    </row>
    <row r="1207" spans="2:3">
      <c r="B1207" s="655"/>
      <c r="C1207" s="655"/>
    </row>
    <row r="1208" spans="2:3">
      <c r="B1208" s="655"/>
      <c r="C1208" s="655"/>
    </row>
    <row r="1209" spans="2:3">
      <c r="B1209" s="655"/>
      <c r="C1209" s="655"/>
    </row>
    <row r="1210" spans="2:3">
      <c r="B1210" s="655"/>
      <c r="C1210" s="655"/>
    </row>
    <row r="1211" spans="2:3">
      <c r="B1211" s="655"/>
      <c r="C1211" s="655"/>
    </row>
    <row r="1212" spans="2:3">
      <c r="B1212" s="655"/>
      <c r="C1212" s="655"/>
    </row>
    <row r="1213" spans="2:3">
      <c r="B1213" s="655"/>
      <c r="C1213" s="655"/>
    </row>
    <row r="1214" spans="2:3">
      <c r="B1214" s="655"/>
      <c r="C1214" s="655"/>
    </row>
    <row r="1215" spans="2:3">
      <c r="B1215" s="655"/>
      <c r="C1215" s="655"/>
    </row>
    <row r="1216" spans="2:3">
      <c r="B1216" s="655"/>
      <c r="C1216" s="655"/>
    </row>
    <row r="1217" spans="2:3">
      <c r="B1217" s="655"/>
      <c r="C1217" s="655"/>
    </row>
    <row r="1218" spans="2:3">
      <c r="B1218" s="655"/>
      <c r="C1218" s="655"/>
    </row>
    <row r="1219" spans="2:3">
      <c r="B1219" s="655"/>
      <c r="C1219" s="655"/>
    </row>
    <row r="1220" spans="2:3">
      <c r="B1220" s="655"/>
      <c r="C1220" s="655"/>
    </row>
    <row r="1221" spans="2:3">
      <c r="B1221" s="655"/>
      <c r="C1221" s="655"/>
    </row>
    <row r="1222" spans="2:3">
      <c r="B1222" s="655"/>
      <c r="C1222" s="655"/>
    </row>
    <row r="1223" spans="2:3">
      <c r="B1223" s="655"/>
      <c r="C1223" s="655"/>
    </row>
    <row r="1224" spans="2:3">
      <c r="B1224" s="655"/>
      <c r="C1224" s="655"/>
    </row>
    <row r="1225" spans="2:3">
      <c r="B1225" s="655"/>
      <c r="C1225" s="655"/>
    </row>
    <row r="1226" spans="2:3">
      <c r="B1226" s="655"/>
      <c r="C1226" s="655"/>
    </row>
    <row r="1227" spans="2:3">
      <c r="B1227" s="655"/>
      <c r="C1227" s="655"/>
    </row>
    <row r="1228" spans="2:3">
      <c r="B1228" s="655"/>
      <c r="C1228" s="655"/>
    </row>
    <row r="1229" spans="2:3">
      <c r="B1229" s="655"/>
      <c r="C1229" s="655"/>
    </row>
    <row r="1230" spans="2:3">
      <c r="B1230" s="655"/>
      <c r="C1230" s="655"/>
    </row>
    <row r="1231" spans="2:3">
      <c r="B1231" s="655"/>
      <c r="C1231" s="655"/>
    </row>
    <row r="1232" spans="2:3">
      <c r="B1232" s="655"/>
      <c r="C1232" s="655"/>
    </row>
    <row r="1233" spans="2:3">
      <c r="B1233" s="655"/>
      <c r="C1233" s="655"/>
    </row>
    <row r="1234" spans="2:3">
      <c r="B1234" s="655"/>
      <c r="C1234" s="655"/>
    </row>
    <row r="1235" spans="2:3">
      <c r="B1235" s="655"/>
      <c r="C1235" s="655"/>
    </row>
    <row r="1236" spans="2:3">
      <c r="B1236" s="655"/>
      <c r="C1236" s="655"/>
    </row>
    <row r="1237" spans="2:3">
      <c r="B1237" s="655"/>
      <c r="C1237" s="655"/>
    </row>
    <row r="1238" spans="2:3">
      <c r="B1238" s="655"/>
      <c r="C1238" s="655"/>
    </row>
    <row r="1239" spans="2:3">
      <c r="B1239" s="655"/>
      <c r="C1239" s="655"/>
    </row>
    <row r="1240" spans="2:3">
      <c r="B1240" s="655"/>
      <c r="C1240" s="655"/>
    </row>
    <row r="1241" spans="2:3">
      <c r="B1241" s="655"/>
      <c r="C1241" s="655"/>
    </row>
    <row r="1242" spans="2:3">
      <c r="B1242" s="655"/>
      <c r="C1242" s="655"/>
    </row>
    <row r="1243" spans="2:3">
      <c r="B1243" s="655"/>
      <c r="C1243" s="655"/>
    </row>
    <row r="1244" spans="2:3">
      <c r="B1244" s="655"/>
      <c r="C1244" s="655"/>
    </row>
    <row r="1245" spans="2:3">
      <c r="B1245" s="655"/>
      <c r="C1245" s="655"/>
    </row>
    <row r="1246" spans="2:3">
      <c r="B1246" s="655"/>
      <c r="C1246" s="655"/>
    </row>
    <row r="1247" spans="2:3">
      <c r="B1247" s="655"/>
      <c r="C1247" s="655"/>
    </row>
    <row r="1248" spans="2:3">
      <c r="B1248" s="655"/>
      <c r="C1248" s="655"/>
    </row>
    <row r="1249" spans="2:3">
      <c r="B1249" s="655"/>
      <c r="C1249" s="655"/>
    </row>
    <row r="1250" spans="2:3">
      <c r="B1250" s="655"/>
      <c r="C1250" s="655"/>
    </row>
    <row r="1251" spans="2:3">
      <c r="B1251" s="655"/>
      <c r="C1251" s="655"/>
    </row>
    <row r="1252" spans="2:3">
      <c r="B1252" s="655"/>
      <c r="C1252" s="655"/>
    </row>
    <row r="1253" spans="2:3">
      <c r="B1253" s="655"/>
      <c r="C1253" s="655"/>
    </row>
    <row r="1254" spans="2:3">
      <c r="B1254" s="655"/>
      <c r="C1254" s="655"/>
    </row>
    <row r="1255" spans="2:3">
      <c r="B1255" s="655"/>
      <c r="C1255" s="655"/>
    </row>
    <row r="1256" spans="2:3">
      <c r="B1256" s="655"/>
      <c r="C1256" s="655"/>
    </row>
    <row r="1257" spans="2:3">
      <c r="B1257" s="655"/>
      <c r="C1257" s="655"/>
    </row>
    <row r="1258" spans="2:3">
      <c r="B1258" s="655"/>
      <c r="C1258" s="655"/>
    </row>
    <row r="1259" spans="2:3">
      <c r="B1259" s="655"/>
      <c r="C1259" s="655"/>
    </row>
    <row r="1260" spans="2:3">
      <c r="B1260" s="655"/>
      <c r="C1260" s="655"/>
    </row>
    <row r="1261" spans="2:3">
      <c r="B1261" s="655"/>
      <c r="C1261" s="655"/>
    </row>
    <row r="1262" spans="2:3">
      <c r="B1262" s="655"/>
      <c r="C1262" s="655"/>
    </row>
    <row r="1263" spans="2:3">
      <c r="B1263" s="655"/>
      <c r="C1263" s="655"/>
    </row>
    <row r="1264" spans="2:3">
      <c r="B1264" s="655"/>
      <c r="C1264" s="655"/>
    </row>
    <row r="1265" spans="2:3">
      <c r="B1265" s="655"/>
      <c r="C1265" s="655"/>
    </row>
    <row r="1266" spans="2:3">
      <c r="B1266" s="655"/>
      <c r="C1266" s="655"/>
    </row>
    <row r="1267" spans="2:3">
      <c r="B1267" s="655"/>
      <c r="C1267" s="655"/>
    </row>
    <row r="1268" spans="2:3">
      <c r="B1268" s="655"/>
      <c r="C1268" s="655"/>
    </row>
    <row r="1269" spans="2:3">
      <c r="B1269" s="655"/>
      <c r="C1269" s="655"/>
    </row>
    <row r="1270" spans="2:3">
      <c r="B1270" s="655"/>
      <c r="C1270" s="655"/>
    </row>
    <row r="1271" spans="2:3">
      <c r="B1271" s="655"/>
      <c r="C1271" s="655"/>
    </row>
    <row r="1272" spans="2:3">
      <c r="B1272" s="655"/>
      <c r="C1272" s="655"/>
    </row>
    <row r="1273" spans="2:3">
      <c r="B1273" s="655"/>
      <c r="C1273" s="655"/>
    </row>
    <row r="1274" spans="2:3">
      <c r="B1274" s="655"/>
      <c r="C1274" s="655"/>
    </row>
    <row r="1275" spans="2:3">
      <c r="B1275" s="655"/>
      <c r="C1275" s="655"/>
    </row>
    <row r="1276" spans="2:3">
      <c r="B1276" s="655"/>
      <c r="C1276" s="655"/>
    </row>
    <row r="1277" spans="2:3">
      <c r="B1277" s="655"/>
      <c r="C1277" s="655"/>
    </row>
    <row r="1278" spans="2:3">
      <c r="B1278" s="655"/>
      <c r="C1278" s="655"/>
    </row>
    <row r="1279" spans="2:3">
      <c r="B1279" s="655"/>
      <c r="C1279" s="655"/>
    </row>
    <row r="1280" spans="2:3">
      <c r="B1280" s="655"/>
      <c r="C1280" s="655"/>
    </row>
    <row r="1281" spans="2:3">
      <c r="B1281" s="655"/>
      <c r="C1281" s="655"/>
    </row>
    <row r="1282" spans="2:3">
      <c r="B1282" s="655"/>
      <c r="C1282" s="655"/>
    </row>
    <row r="1283" spans="2:3">
      <c r="B1283" s="655"/>
      <c r="C1283" s="655"/>
    </row>
    <row r="1284" spans="2:3">
      <c r="B1284" s="655"/>
      <c r="C1284" s="655"/>
    </row>
    <row r="1285" spans="2:3">
      <c r="B1285" s="655"/>
      <c r="C1285" s="655"/>
    </row>
    <row r="1286" spans="2:3">
      <c r="B1286" s="655"/>
      <c r="C1286" s="655"/>
    </row>
    <row r="1287" spans="2:3">
      <c r="B1287" s="655"/>
      <c r="C1287" s="655"/>
    </row>
    <row r="1288" spans="2:3">
      <c r="B1288" s="655"/>
      <c r="C1288" s="655"/>
    </row>
    <row r="1289" spans="2:3">
      <c r="B1289" s="655"/>
      <c r="C1289" s="655"/>
    </row>
    <row r="1290" spans="2:3">
      <c r="B1290" s="655"/>
      <c r="C1290" s="655"/>
    </row>
    <row r="1291" spans="2:3">
      <c r="B1291" s="655"/>
      <c r="C1291" s="655"/>
    </row>
    <row r="1292" spans="2:3">
      <c r="B1292" s="655"/>
      <c r="C1292" s="655"/>
    </row>
    <row r="1293" spans="2:3">
      <c r="B1293" s="655"/>
      <c r="C1293" s="655"/>
    </row>
    <row r="1294" spans="2:3">
      <c r="B1294" s="655"/>
      <c r="C1294" s="655"/>
    </row>
    <row r="1295" spans="2:3">
      <c r="B1295" s="655"/>
      <c r="C1295" s="655"/>
    </row>
    <row r="1296" spans="2:3">
      <c r="B1296" s="655"/>
      <c r="C1296" s="655"/>
    </row>
    <row r="1297" spans="2:3">
      <c r="B1297" s="655"/>
      <c r="C1297" s="655"/>
    </row>
    <row r="1298" spans="2:3">
      <c r="B1298" s="655"/>
      <c r="C1298" s="655"/>
    </row>
    <row r="1299" spans="2:3">
      <c r="B1299" s="655"/>
      <c r="C1299" s="655"/>
    </row>
    <row r="1300" spans="2:3">
      <c r="B1300" s="655"/>
      <c r="C1300" s="655"/>
    </row>
    <row r="1301" spans="2:3">
      <c r="B1301" s="655"/>
      <c r="C1301" s="655"/>
    </row>
    <row r="1302" spans="2:3">
      <c r="B1302" s="655"/>
      <c r="C1302" s="655"/>
    </row>
    <row r="1303" spans="2:3">
      <c r="B1303" s="655"/>
      <c r="C1303" s="655"/>
    </row>
    <row r="1304" spans="2:3">
      <c r="B1304" s="655"/>
      <c r="C1304" s="655"/>
    </row>
    <row r="1305" spans="2:3">
      <c r="B1305" s="655"/>
      <c r="C1305" s="655"/>
    </row>
    <row r="1306" spans="2:3">
      <c r="B1306" s="655"/>
      <c r="C1306" s="655"/>
    </row>
    <row r="1307" spans="2:3">
      <c r="B1307" s="655"/>
      <c r="C1307" s="655"/>
    </row>
    <row r="1308" spans="2:3">
      <c r="B1308" s="655"/>
      <c r="C1308" s="655"/>
    </row>
    <row r="1309" spans="2:3">
      <c r="B1309" s="655"/>
      <c r="C1309" s="655"/>
    </row>
    <row r="1310" spans="2:3">
      <c r="B1310" s="655"/>
      <c r="C1310" s="655"/>
    </row>
    <row r="1311" spans="2:3">
      <c r="B1311" s="655"/>
      <c r="C1311" s="655"/>
    </row>
    <row r="1312" spans="2:3">
      <c r="B1312" s="655"/>
      <c r="C1312" s="655"/>
    </row>
    <row r="1313" spans="2:3">
      <c r="B1313" s="655"/>
      <c r="C1313" s="655"/>
    </row>
    <row r="1314" spans="2:3">
      <c r="B1314" s="655"/>
      <c r="C1314" s="655"/>
    </row>
    <row r="1315" spans="2:3">
      <c r="B1315" s="655"/>
      <c r="C1315" s="655"/>
    </row>
    <row r="1316" spans="2:3">
      <c r="B1316" s="655"/>
      <c r="C1316" s="655"/>
    </row>
    <row r="1317" spans="2:3">
      <c r="B1317" s="655"/>
      <c r="C1317" s="655"/>
    </row>
    <row r="1318" spans="2:3">
      <c r="B1318" s="655"/>
      <c r="C1318" s="655"/>
    </row>
    <row r="1319" spans="2:3">
      <c r="B1319" s="655"/>
      <c r="C1319" s="655"/>
    </row>
    <row r="1320" spans="2:3">
      <c r="B1320" s="655"/>
      <c r="C1320" s="655"/>
    </row>
    <row r="1321" spans="2:3">
      <c r="B1321" s="655"/>
      <c r="C1321" s="655"/>
    </row>
    <row r="1322" spans="2:3">
      <c r="B1322" s="655"/>
      <c r="C1322" s="655"/>
    </row>
    <row r="1323" spans="2:3">
      <c r="B1323" s="655"/>
      <c r="C1323" s="655"/>
    </row>
    <row r="1324" spans="2:3">
      <c r="B1324" s="655"/>
      <c r="C1324" s="655"/>
    </row>
    <row r="1325" spans="2:3">
      <c r="B1325" s="655"/>
      <c r="C1325" s="655"/>
    </row>
    <row r="1326" spans="2:3">
      <c r="B1326" s="655"/>
      <c r="C1326" s="655"/>
    </row>
    <row r="1327" spans="2:3">
      <c r="B1327" s="655"/>
      <c r="C1327" s="655"/>
    </row>
    <row r="1328" spans="2:3">
      <c r="B1328" s="655"/>
      <c r="C1328" s="655"/>
    </row>
    <row r="1329" spans="2:3">
      <c r="B1329" s="655"/>
      <c r="C1329" s="655"/>
    </row>
    <row r="1330" spans="2:3">
      <c r="B1330" s="655"/>
      <c r="C1330" s="655"/>
    </row>
    <row r="1331" spans="2:3">
      <c r="B1331" s="655"/>
      <c r="C1331" s="655"/>
    </row>
    <row r="1332" spans="2:3">
      <c r="B1332" s="655"/>
      <c r="C1332" s="655"/>
    </row>
    <row r="1333" spans="2:3">
      <c r="B1333" s="655"/>
      <c r="C1333" s="655"/>
    </row>
    <row r="1334" spans="2:3">
      <c r="B1334" s="655"/>
      <c r="C1334" s="655"/>
    </row>
    <row r="1335" spans="2:3">
      <c r="B1335" s="655"/>
      <c r="C1335" s="655"/>
    </row>
    <row r="1336" spans="2:3">
      <c r="B1336" s="655"/>
      <c r="C1336" s="655"/>
    </row>
    <row r="1337" spans="2:3">
      <c r="B1337" s="655"/>
      <c r="C1337" s="655"/>
    </row>
    <row r="1338" spans="2:3">
      <c r="B1338" s="655"/>
      <c r="C1338" s="655"/>
    </row>
    <row r="1339" spans="2:3">
      <c r="B1339" s="655"/>
      <c r="C1339" s="655"/>
    </row>
    <row r="1340" spans="2:3">
      <c r="B1340" s="655"/>
      <c r="C1340" s="655"/>
    </row>
    <row r="1341" spans="2:3">
      <c r="B1341" s="655"/>
      <c r="C1341" s="655"/>
    </row>
    <row r="1342" spans="2:3">
      <c r="B1342" s="655"/>
      <c r="C1342" s="655"/>
    </row>
    <row r="1343" spans="2:3">
      <c r="B1343" s="655"/>
      <c r="C1343" s="655"/>
    </row>
    <row r="1344" spans="2:3">
      <c r="B1344" s="655"/>
      <c r="C1344" s="655"/>
    </row>
    <row r="1345" spans="2:3">
      <c r="B1345" s="655"/>
      <c r="C1345" s="655"/>
    </row>
    <row r="1346" spans="2:3">
      <c r="B1346" s="655"/>
      <c r="C1346" s="655"/>
    </row>
    <row r="1347" spans="2:3">
      <c r="B1347" s="655"/>
      <c r="C1347" s="655"/>
    </row>
    <row r="1348" spans="2:3">
      <c r="B1348" s="655"/>
      <c r="C1348" s="655"/>
    </row>
    <row r="1349" spans="2:3">
      <c r="B1349" s="655"/>
      <c r="C1349" s="655"/>
    </row>
    <row r="1350" spans="2:3">
      <c r="B1350" s="655"/>
      <c r="C1350" s="655"/>
    </row>
    <row r="1351" spans="2:3">
      <c r="B1351" s="655"/>
      <c r="C1351" s="655"/>
    </row>
    <row r="1352" spans="2:3">
      <c r="B1352" s="655"/>
      <c r="C1352" s="655"/>
    </row>
    <row r="1353" spans="2:3">
      <c r="B1353" s="655"/>
      <c r="C1353" s="655"/>
    </row>
    <row r="1354" spans="2:3">
      <c r="B1354" s="655"/>
      <c r="C1354" s="655"/>
    </row>
    <row r="1355" spans="2:3">
      <c r="B1355" s="655"/>
      <c r="C1355" s="655"/>
    </row>
    <row r="1356" spans="2:3">
      <c r="B1356" s="655"/>
      <c r="C1356" s="655"/>
    </row>
    <row r="1357" spans="2:3">
      <c r="B1357" s="655"/>
      <c r="C1357" s="655"/>
    </row>
    <row r="1358" spans="2:3">
      <c r="B1358" s="655"/>
      <c r="C1358" s="655"/>
    </row>
    <row r="1359" spans="2:3">
      <c r="B1359" s="655"/>
      <c r="C1359" s="655"/>
    </row>
    <row r="1360" spans="2:3">
      <c r="B1360" s="655"/>
      <c r="C1360" s="655"/>
    </row>
    <row r="1361" spans="2:3">
      <c r="B1361" s="655"/>
      <c r="C1361" s="655"/>
    </row>
    <row r="1362" spans="2:3">
      <c r="B1362" s="655"/>
      <c r="C1362" s="655"/>
    </row>
    <row r="1363" spans="2:3">
      <c r="B1363" s="655"/>
      <c r="C1363" s="655"/>
    </row>
    <row r="1364" spans="2:3">
      <c r="B1364" s="655"/>
      <c r="C1364" s="655"/>
    </row>
    <row r="1365" spans="2:3">
      <c r="B1365" s="655"/>
      <c r="C1365" s="655"/>
    </row>
    <row r="1366" spans="2:3">
      <c r="B1366" s="655"/>
      <c r="C1366" s="655"/>
    </row>
    <row r="1367" spans="2:3">
      <c r="B1367" s="655"/>
      <c r="C1367" s="655"/>
    </row>
    <row r="1368" spans="2:3">
      <c r="B1368" s="655"/>
      <c r="C1368" s="655"/>
    </row>
    <row r="1369" spans="2:3">
      <c r="B1369" s="655"/>
      <c r="C1369" s="655"/>
    </row>
    <row r="1370" spans="2:3">
      <c r="B1370" s="655"/>
      <c r="C1370" s="655"/>
    </row>
    <row r="1371" spans="2:3">
      <c r="B1371" s="655"/>
      <c r="C1371" s="655"/>
    </row>
    <row r="1372" spans="2:3">
      <c r="B1372" s="655"/>
      <c r="C1372" s="655"/>
    </row>
    <row r="1373" spans="2:3">
      <c r="B1373" s="655"/>
      <c r="C1373" s="655"/>
    </row>
    <row r="1374" spans="2:3">
      <c r="B1374" s="655"/>
      <c r="C1374" s="655"/>
    </row>
    <row r="1375" spans="2:3">
      <c r="B1375" s="655"/>
      <c r="C1375" s="655"/>
    </row>
    <row r="1376" spans="2:3">
      <c r="B1376" s="655"/>
      <c r="C1376" s="655"/>
    </row>
    <row r="1377" spans="2:3">
      <c r="B1377" s="655"/>
      <c r="C1377" s="655"/>
    </row>
    <row r="1378" spans="2:3">
      <c r="B1378" s="655"/>
      <c r="C1378" s="655"/>
    </row>
    <row r="1379" spans="2:3">
      <c r="B1379" s="655"/>
      <c r="C1379" s="655"/>
    </row>
    <row r="1380" spans="2:3">
      <c r="B1380" s="655"/>
      <c r="C1380" s="655"/>
    </row>
    <row r="1381" spans="2:3">
      <c r="B1381" s="655"/>
      <c r="C1381" s="655"/>
    </row>
    <row r="1382" spans="2:3">
      <c r="B1382" s="655"/>
      <c r="C1382" s="655"/>
    </row>
    <row r="1383" spans="2:3">
      <c r="B1383" s="655"/>
      <c r="C1383" s="655"/>
    </row>
    <row r="1384" spans="2:3">
      <c r="B1384" s="655"/>
      <c r="C1384" s="655"/>
    </row>
    <row r="1385" spans="2:3">
      <c r="B1385" s="655"/>
      <c r="C1385" s="655"/>
    </row>
    <row r="1386" spans="2:3">
      <c r="B1386" s="655"/>
      <c r="C1386" s="655"/>
    </row>
    <row r="1387" spans="2:3">
      <c r="B1387" s="655"/>
      <c r="C1387" s="655"/>
    </row>
    <row r="1388" spans="2:3">
      <c r="B1388" s="655"/>
      <c r="C1388" s="655"/>
    </row>
    <row r="1389" spans="2:3">
      <c r="B1389" s="655"/>
      <c r="C1389" s="655"/>
    </row>
    <row r="1390" spans="2:3">
      <c r="B1390" s="655"/>
      <c r="C1390" s="655"/>
    </row>
    <row r="1391" spans="2:3">
      <c r="B1391" s="655"/>
      <c r="C1391" s="655"/>
    </row>
    <row r="1392" spans="2:3">
      <c r="B1392" s="655"/>
      <c r="C1392" s="655"/>
    </row>
    <row r="1393" spans="2:3">
      <c r="B1393" s="655"/>
      <c r="C1393" s="655"/>
    </row>
    <row r="1394" spans="2:3">
      <c r="B1394" s="655"/>
      <c r="C1394" s="655"/>
    </row>
    <row r="1395" spans="2:3">
      <c r="B1395" s="655"/>
      <c r="C1395" s="655"/>
    </row>
    <row r="1396" spans="2:3">
      <c r="B1396" s="655"/>
      <c r="C1396" s="655"/>
    </row>
    <row r="1397" spans="2:3">
      <c r="B1397" s="655"/>
      <c r="C1397" s="655"/>
    </row>
    <row r="1398" spans="2:3">
      <c r="B1398" s="655"/>
      <c r="C1398" s="655"/>
    </row>
    <row r="1399" spans="2:3">
      <c r="B1399" s="655"/>
      <c r="C1399" s="655"/>
    </row>
    <row r="1400" spans="2:3">
      <c r="B1400" s="655"/>
      <c r="C1400" s="655"/>
    </row>
    <row r="1401" spans="2:3">
      <c r="B1401" s="655"/>
      <c r="C1401" s="655"/>
    </row>
    <row r="1402" spans="2:3">
      <c r="B1402" s="655"/>
      <c r="C1402" s="655"/>
    </row>
    <row r="1403" spans="2:3">
      <c r="B1403" s="655"/>
      <c r="C1403" s="655"/>
    </row>
    <row r="1404" spans="2:3">
      <c r="B1404" s="655"/>
      <c r="C1404" s="655"/>
    </row>
    <row r="1405" spans="2:3">
      <c r="B1405" s="655"/>
      <c r="C1405" s="655"/>
    </row>
    <row r="1406" spans="2:3">
      <c r="B1406" s="655"/>
      <c r="C1406" s="655"/>
    </row>
    <row r="1407" spans="2:3">
      <c r="B1407" s="655"/>
      <c r="C1407" s="655"/>
    </row>
    <row r="1408" spans="2:3">
      <c r="B1408" s="655"/>
      <c r="C1408" s="655"/>
    </row>
    <row r="1409" spans="2:3">
      <c r="B1409" s="655"/>
      <c r="C1409" s="655"/>
    </row>
    <row r="1410" spans="2:3">
      <c r="B1410" s="655"/>
      <c r="C1410" s="655"/>
    </row>
    <row r="1411" spans="2:3">
      <c r="B1411" s="655"/>
      <c r="C1411" s="655"/>
    </row>
    <row r="1412" spans="2:3">
      <c r="B1412" s="655"/>
      <c r="C1412" s="655"/>
    </row>
    <row r="1413" spans="2:3">
      <c r="B1413" s="655"/>
      <c r="C1413" s="655"/>
    </row>
    <row r="1414" spans="2:3">
      <c r="B1414" s="655"/>
      <c r="C1414" s="655"/>
    </row>
    <row r="1415" spans="2:3">
      <c r="B1415" s="655"/>
      <c r="C1415" s="655"/>
    </row>
    <row r="1416" spans="2:3">
      <c r="B1416" s="655"/>
      <c r="C1416" s="655"/>
    </row>
    <row r="1417" spans="2:3">
      <c r="B1417" s="655"/>
      <c r="C1417" s="655"/>
    </row>
    <row r="1418" spans="2:3">
      <c r="B1418" s="655"/>
      <c r="C1418" s="655"/>
    </row>
    <row r="1419" spans="2:3">
      <c r="B1419" s="655"/>
      <c r="C1419" s="655"/>
    </row>
    <row r="1420" spans="2:3">
      <c r="B1420" s="655"/>
      <c r="C1420" s="655"/>
    </row>
    <row r="1421" spans="2:3">
      <c r="B1421" s="655"/>
      <c r="C1421" s="655"/>
    </row>
    <row r="1422" spans="2:3">
      <c r="B1422" s="655"/>
      <c r="C1422" s="655"/>
    </row>
    <row r="1423" spans="2:3">
      <c r="B1423" s="655"/>
      <c r="C1423" s="655"/>
    </row>
    <row r="1424" spans="2:3">
      <c r="B1424" s="655"/>
      <c r="C1424" s="655"/>
    </row>
    <row r="1425" spans="2:3">
      <c r="B1425" s="655"/>
      <c r="C1425" s="655"/>
    </row>
    <row r="1426" spans="2:3">
      <c r="B1426" s="655"/>
      <c r="C1426" s="655"/>
    </row>
    <row r="1427" spans="2:3">
      <c r="B1427" s="655"/>
      <c r="C1427" s="655"/>
    </row>
    <row r="1428" spans="2:3">
      <c r="B1428" s="655"/>
      <c r="C1428" s="655"/>
    </row>
    <row r="1429" spans="2:3">
      <c r="B1429" s="655"/>
      <c r="C1429" s="655"/>
    </row>
    <row r="1430" spans="2:3">
      <c r="B1430" s="655"/>
      <c r="C1430" s="655"/>
    </row>
    <row r="1431" spans="2:3">
      <c r="B1431" s="655"/>
      <c r="C1431" s="655"/>
    </row>
    <row r="1432" spans="2:3">
      <c r="B1432" s="655"/>
      <c r="C1432" s="655"/>
    </row>
    <row r="1433" spans="2:3">
      <c r="B1433" s="655"/>
      <c r="C1433" s="655"/>
    </row>
    <row r="1434" spans="2:3">
      <c r="B1434" s="655"/>
      <c r="C1434" s="655"/>
    </row>
    <row r="1435" spans="2:3">
      <c r="B1435" s="655"/>
      <c r="C1435" s="655"/>
    </row>
    <row r="1436" spans="2:3">
      <c r="B1436" s="655"/>
      <c r="C1436" s="655"/>
    </row>
    <row r="1437" spans="2:3">
      <c r="B1437" s="655"/>
      <c r="C1437" s="655"/>
    </row>
    <row r="1438" spans="2:3">
      <c r="B1438" s="655"/>
      <c r="C1438" s="655"/>
    </row>
    <row r="1439" spans="2:3">
      <c r="B1439" s="655"/>
      <c r="C1439" s="655"/>
    </row>
    <row r="1440" spans="2:3">
      <c r="B1440" s="655"/>
      <c r="C1440" s="655"/>
    </row>
    <row r="1441" spans="2:3">
      <c r="B1441" s="655"/>
      <c r="C1441" s="655"/>
    </row>
    <row r="1442" spans="2:3">
      <c r="B1442" s="655"/>
      <c r="C1442" s="655"/>
    </row>
    <row r="1443" spans="2:3">
      <c r="B1443" s="655"/>
      <c r="C1443" s="655"/>
    </row>
    <row r="1444" spans="2:3">
      <c r="B1444" s="655"/>
      <c r="C1444" s="655"/>
    </row>
    <row r="1445" spans="2:3">
      <c r="B1445" s="655"/>
      <c r="C1445" s="655"/>
    </row>
    <row r="1446" spans="2:3">
      <c r="B1446" s="655"/>
      <c r="C1446" s="655"/>
    </row>
    <row r="1447" spans="2:3">
      <c r="B1447" s="655"/>
      <c r="C1447" s="655"/>
    </row>
    <row r="1448" spans="2:3">
      <c r="B1448" s="655"/>
      <c r="C1448" s="655"/>
    </row>
    <row r="1449" spans="2:3">
      <c r="B1449" s="655"/>
      <c r="C1449" s="655"/>
    </row>
    <row r="1450" spans="2:3">
      <c r="B1450" s="655"/>
      <c r="C1450" s="655"/>
    </row>
    <row r="1451" spans="2:3">
      <c r="B1451" s="655"/>
      <c r="C1451" s="655"/>
    </row>
    <row r="1452" spans="2:3">
      <c r="B1452" s="655"/>
      <c r="C1452" s="655"/>
    </row>
    <row r="1453" spans="2:3">
      <c r="B1453" s="655"/>
      <c r="C1453" s="655"/>
    </row>
    <row r="1454" spans="2:3">
      <c r="B1454" s="655"/>
      <c r="C1454" s="655"/>
    </row>
    <row r="1455" spans="2:3">
      <c r="B1455" s="655"/>
      <c r="C1455" s="655"/>
    </row>
    <row r="1456" spans="2:3">
      <c r="B1456" s="655"/>
      <c r="C1456" s="655"/>
    </row>
    <row r="1457" spans="2:3">
      <c r="B1457" s="655"/>
      <c r="C1457" s="655"/>
    </row>
    <row r="1458" spans="2:3">
      <c r="B1458" s="655"/>
      <c r="C1458" s="655"/>
    </row>
    <row r="1459" spans="2:3">
      <c r="B1459" s="655"/>
      <c r="C1459" s="655"/>
    </row>
    <row r="1460" spans="2:3">
      <c r="B1460" s="655"/>
      <c r="C1460" s="655"/>
    </row>
    <row r="1461" spans="2:3">
      <c r="B1461" s="655"/>
      <c r="C1461" s="655"/>
    </row>
    <row r="1462" spans="2:3">
      <c r="B1462" s="655"/>
      <c r="C1462" s="655"/>
    </row>
    <row r="1463" spans="2:3">
      <c r="B1463" s="655"/>
      <c r="C1463" s="655"/>
    </row>
    <row r="1464" spans="2:3">
      <c r="B1464" s="655"/>
      <c r="C1464" s="655"/>
    </row>
    <row r="1465" spans="2:3">
      <c r="B1465" s="655"/>
      <c r="C1465" s="655"/>
    </row>
    <row r="1466" spans="2:3">
      <c r="B1466" s="655"/>
      <c r="C1466" s="655"/>
    </row>
    <row r="1467" spans="2:3">
      <c r="B1467" s="655"/>
      <c r="C1467" s="655"/>
    </row>
    <row r="1468" spans="2:3">
      <c r="B1468" s="655"/>
      <c r="C1468" s="655"/>
    </row>
    <row r="1469" spans="2:3">
      <c r="B1469" s="655"/>
      <c r="C1469" s="655"/>
    </row>
    <row r="1470" spans="2:3">
      <c r="B1470" s="655"/>
      <c r="C1470" s="655"/>
    </row>
    <row r="1471" spans="2:3">
      <c r="B1471" s="655"/>
      <c r="C1471" s="655"/>
    </row>
    <row r="1472" spans="2:3">
      <c r="B1472" s="655"/>
      <c r="C1472" s="655"/>
    </row>
    <row r="1473" spans="2:3">
      <c r="B1473" s="655"/>
      <c r="C1473" s="655"/>
    </row>
    <row r="1474" spans="2:3">
      <c r="B1474" s="655"/>
      <c r="C1474" s="655"/>
    </row>
    <row r="1475" spans="2:3">
      <c r="B1475" s="655"/>
      <c r="C1475" s="655"/>
    </row>
    <row r="1476" spans="2:3">
      <c r="B1476" s="655"/>
      <c r="C1476" s="655"/>
    </row>
    <row r="1477" spans="2:3">
      <c r="B1477" s="655"/>
      <c r="C1477" s="655"/>
    </row>
    <row r="1478" spans="2:3">
      <c r="B1478" s="655"/>
      <c r="C1478" s="655"/>
    </row>
    <row r="1479" spans="2:3">
      <c r="B1479" s="655"/>
      <c r="C1479" s="655"/>
    </row>
    <row r="1480" spans="2:3">
      <c r="B1480" s="655"/>
      <c r="C1480" s="655"/>
    </row>
    <row r="1481" spans="2:3">
      <c r="B1481" s="655"/>
      <c r="C1481" s="655"/>
    </row>
    <row r="1482" spans="2:3">
      <c r="B1482" s="655"/>
      <c r="C1482" s="655"/>
    </row>
    <row r="1483" spans="2:3">
      <c r="B1483" s="655"/>
      <c r="C1483" s="655"/>
    </row>
    <row r="1484" spans="2:3">
      <c r="B1484" s="655"/>
      <c r="C1484" s="655"/>
    </row>
    <row r="1485" spans="2:3">
      <c r="B1485" s="655"/>
      <c r="C1485" s="655"/>
    </row>
    <row r="1486" spans="2:3">
      <c r="B1486" s="655"/>
      <c r="C1486" s="655"/>
    </row>
    <row r="1487" spans="2:3">
      <c r="B1487" s="655"/>
      <c r="C1487" s="655"/>
    </row>
    <row r="1488" spans="2:3">
      <c r="B1488" s="655"/>
      <c r="C1488" s="655"/>
    </row>
    <row r="1489" spans="2:3">
      <c r="B1489" s="655"/>
      <c r="C1489" s="655"/>
    </row>
    <row r="1490" spans="2:3">
      <c r="B1490" s="655"/>
      <c r="C1490" s="655"/>
    </row>
    <row r="1491" spans="2:3">
      <c r="B1491" s="655"/>
      <c r="C1491" s="655"/>
    </row>
    <row r="1492" spans="2:3">
      <c r="B1492" s="655"/>
      <c r="C1492" s="655"/>
    </row>
    <row r="1493" spans="2:3">
      <c r="B1493" s="655"/>
      <c r="C1493" s="655"/>
    </row>
    <row r="1494" spans="2:3">
      <c r="B1494" s="655"/>
      <c r="C1494" s="655"/>
    </row>
    <row r="1495" spans="2:3">
      <c r="B1495" s="655"/>
      <c r="C1495" s="655"/>
    </row>
    <row r="1496" spans="2:3">
      <c r="B1496" s="655"/>
      <c r="C1496" s="655"/>
    </row>
    <row r="1497" spans="2:3">
      <c r="B1497" s="655"/>
      <c r="C1497" s="655"/>
    </row>
    <row r="1498" spans="2:3">
      <c r="B1498" s="655"/>
      <c r="C1498" s="655"/>
    </row>
    <row r="1499" spans="2:3">
      <c r="B1499" s="655"/>
      <c r="C1499" s="655"/>
    </row>
    <row r="1500" spans="2:3">
      <c r="B1500" s="655"/>
      <c r="C1500" s="655"/>
    </row>
    <row r="1501" spans="2:3">
      <c r="B1501" s="655"/>
      <c r="C1501" s="655"/>
    </row>
    <row r="1502" spans="2:3">
      <c r="B1502" s="655"/>
      <c r="C1502" s="655"/>
    </row>
    <row r="1503" spans="2:3">
      <c r="B1503" s="655"/>
      <c r="C1503" s="655"/>
    </row>
    <row r="1504" spans="2:3">
      <c r="B1504" s="655"/>
      <c r="C1504" s="655"/>
    </row>
    <row r="1505" spans="2:3">
      <c r="B1505" s="655"/>
      <c r="C1505" s="655"/>
    </row>
    <row r="1506" spans="2:3">
      <c r="B1506" s="655"/>
      <c r="C1506" s="655"/>
    </row>
    <row r="1507" spans="2:3">
      <c r="B1507" s="655"/>
      <c r="C1507" s="655"/>
    </row>
    <row r="1508" spans="2:3">
      <c r="B1508" s="655"/>
      <c r="C1508" s="655"/>
    </row>
    <row r="1509" spans="2:3">
      <c r="B1509" s="655"/>
      <c r="C1509" s="655"/>
    </row>
    <row r="1510" spans="2:3">
      <c r="B1510" s="655"/>
      <c r="C1510" s="655"/>
    </row>
    <row r="1511" spans="2:3">
      <c r="B1511" s="655"/>
      <c r="C1511" s="655"/>
    </row>
    <row r="1512" spans="2:3">
      <c r="B1512" s="655"/>
      <c r="C1512" s="655"/>
    </row>
    <row r="1513" spans="2:3">
      <c r="B1513" s="655"/>
      <c r="C1513" s="655"/>
    </row>
    <row r="1514" spans="2:3">
      <c r="B1514" s="655"/>
      <c r="C1514" s="655"/>
    </row>
    <row r="1515" spans="2:3">
      <c r="B1515" s="655"/>
      <c r="C1515" s="655"/>
    </row>
    <row r="1516" spans="2:3">
      <c r="B1516" s="655"/>
      <c r="C1516" s="655"/>
    </row>
    <row r="1517" spans="2:3">
      <c r="B1517" s="655"/>
      <c r="C1517" s="655"/>
    </row>
    <row r="1518" spans="2:3">
      <c r="B1518" s="655"/>
      <c r="C1518" s="655"/>
    </row>
    <row r="1519" spans="2:3">
      <c r="B1519" s="655"/>
      <c r="C1519" s="655"/>
    </row>
    <row r="1520" spans="2:3">
      <c r="B1520" s="655"/>
      <c r="C1520" s="655"/>
    </row>
    <row r="1521" spans="2:3">
      <c r="B1521" s="655"/>
      <c r="C1521" s="655"/>
    </row>
    <row r="1522" spans="2:3">
      <c r="B1522" s="655"/>
      <c r="C1522" s="655"/>
    </row>
    <row r="1523" spans="2:3">
      <c r="B1523" s="655"/>
      <c r="C1523" s="655"/>
    </row>
    <row r="1524" spans="2:3">
      <c r="B1524" s="655"/>
      <c r="C1524" s="655"/>
    </row>
    <row r="1525" spans="2:3">
      <c r="B1525" s="655"/>
      <c r="C1525" s="655"/>
    </row>
    <row r="1526" spans="2:3">
      <c r="B1526" s="655"/>
      <c r="C1526" s="655"/>
    </row>
    <row r="1527" spans="2:3">
      <c r="B1527" s="655"/>
      <c r="C1527" s="655"/>
    </row>
    <row r="1528" spans="2:3">
      <c r="B1528" s="655"/>
      <c r="C1528" s="655"/>
    </row>
    <row r="1529" spans="2:3">
      <c r="B1529" s="655"/>
      <c r="C1529" s="655"/>
    </row>
    <row r="1530" spans="2:3">
      <c r="B1530" s="655"/>
      <c r="C1530" s="655"/>
    </row>
    <row r="1531" spans="2:3">
      <c r="B1531" s="655"/>
      <c r="C1531" s="655"/>
    </row>
    <row r="1532" spans="2:3">
      <c r="B1532" s="655"/>
      <c r="C1532" s="655"/>
    </row>
    <row r="1533" spans="2:3">
      <c r="B1533" s="655"/>
      <c r="C1533" s="655"/>
    </row>
    <row r="1534" spans="2:3">
      <c r="B1534" s="655"/>
      <c r="C1534" s="655"/>
    </row>
    <row r="1535" spans="2:3">
      <c r="B1535" s="655"/>
      <c r="C1535" s="655"/>
    </row>
    <row r="1536" spans="2:3">
      <c r="B1536" s="655"/>
      <c r="C1536" s="655"/>
    </row>
    <row r="1537" spans="2:3">
      <c r="B1537" s="655"/>
      <c r="C1537" s="655"/>
    </row>
    <row r="1538" spans="2:3">
      <c r="B1538" s="655"/>
      <c r="C1538" s="655"/>
    </row>
    <row r="1539" spans="2:3">
      <c r="B1539" s="655"/>
      <c r="C1539" s="655"/>
    </row>
    <row r="1540" spans="2:3">
      <c r="B1540" s="655"/>
      <c r="C1540" s="655"/>
    </row>
    <row r="1541" spans="2:3">
      <c r="B1541" s="655"/>
      <c r="C1541" s="655"/>
    </row>
    <row r="1542" spans="2:3">
      <c r="B1542" s="655"/>
      <c r="C1542" s="655"/>
    </row>
    <row r="1543" spans="2:3">
      <c r="B1543" s="655"/>
      <c r="C1543" s="655"/>
    </row>
    <row r="1544" spans="2:3">
      <c r="B1544" s="655"/>
      <c r="C1544" s="655"/>
    </row>
    <row r="1545" spans="2:3">
      <c r="B1545" s="655"/>
      <c r="C1545" s="655"/>
    </row>
    <row r="1546" spans="2:3">
      <c r="B1546" s="655"/>
      <c r="C1546" s="655"/>
    </row>
    <row r="1547" spans="2:3">
      <c r="B1547" s="655"/>
      <c r="C1547" s="655"/>
    </row>
    <row r="1548" spans="2:3">
      <c r="B1548" s="655"/>
      <c r="C1548" s="655"/>
    </row>
    <row r="1549" spans="2:3">
      <c r="B1549" s="655"/>
      <c r="C1549" s="655"/>
    </row>
    <row r="1550" spans="2:3">
      <c r="B1550" s="655"/>
      <c r="C1550" s="655"/>
    </row>
    <row r="1551" spans="2:3">
      <c r="B1551" s="655"/>
      <c r="C1551" s="655"/>
    </row>
    <row r="1552" spans="2:3">
      <c r="B1552" s="655"/>
      <c r="C1552" s="655"/>
    </row>
    <row r="1553" spans="2:3">
      <c r="B1553" s="655"/>
      <c r="C1553" s="655"/>
    </row>
    <row r="1554" spans="2:3">
      <c r="B1554" s="655"/>
      <c r="C1554" s="655"/>
    </row>
    <row r="1555" spans="2:3">
      <c r="B1555" s="655"/>
      <c r="C1555" s="655"/>
    </row>
    <row r="1556" spans="2:3">
      <c r="B1556" s="655"/>
      <c r="C1556" s="655"/>
    </row>
    <row r="1557" spans="2:3">
      <c r="B1557" s="655"/>
      <c r="C1557" s="655"/>
    </row>
    <row r="1558" spans="2:3">
      <c r="B1558" s="655"/>
      <c r="C1558" s="655"/>
    </row>
    <row r="1559" spans="2:3">
      <c r="B1559" s="655"/>
      <c r="C1559" s="655"/>
    </row>
    <row r="1560" spans="2:3">
      <c r="B1560" s="655"/>
      <c r="C1560" s="655"/>
    </row>
    <row r="1561" spans="2:3">
      <c r="B1561" s="655"/>
      <c r="C1561" s="655"/>
    </row>
    <row r="1562" spans="2:3">
      <c r="B1562" s="655"/>
      <c r="C1562" s="655"/>
    </row>
    <row r="1563" spans="2:3">
      <c r="B1563" s="655"/>
      <c r="C1563" s="655"/>
    </row>
    <row r="1564" spans="2:3">
      <c r="B1564" s="655"/>
      <c r="C1564" s="655"/>
    </row>
    <row r="1565" spans="2:3">
      <c r="B1565" s="655"/>
      <c r="C1565" s="655"/>
    </row>
    <row r="1566" spans="2:3">
      <c r="B1566" s="655"/>
      <c r="C1566" s="655"/>
    </row>
    <row r="1567" spans="2:3">
      <c r="B1567" s="655"/>
      <c r="C1567" s="655"/>
    </row>
    <row r="1568" spans="2:3">
      <c r="B1568" s="655"/>
      <c r="C1568" s="655"/>
    </row>
    <row r="1569" spans="2:3">
      <c r="B1569" s="655"/>
      <c r="C1569" s="655"/>
    </row>
    <row r="1570" spans="2:3">
      <c r="B1570" s="655"/>
      <c r="C1570" s="655"/>
    </row>
    <row r="1571" spans="2:3">
      <c r="B1571" s="655"/>
      <c r="C1571" s="655"/>
    </row>
    <row r="1572" spans="2:3">
      <c r="B1572" s="655"/>
      <c r="C1572" s="655"/>
    </row>
    <row r="1573" spans="2:3">
      <c r="B1573" s="655"/>
      <c r="C1573" s="655"/>
    </row>
    <row r="1574" spans="2:3">
      <c r="B1574" s="655"/>
      <c r="C1574" s="655"/>
    </row>
    <row r="1575" spans="2:3">
      <c r="B1575" s="655"/>
      <c r="C1575" s="655"/>
    </row>
    <row r="1576" spans="2:3">
      <c r="B1576" s="655"/>
      <c r="C1576" s="655"/>
    </row>
    <row r="1577" spans="2:3">
      <c r="B1577" s="655"/>
      <c r="C1577" s="655"/>
    </row>
    <row r="1578" spans="2:3">
      <c r="B1578" s="655"/>
      <c r="C1578" s="655"/>
    </row>
    <row r="1579" spans="2:3">
      <c r="B1579" s="655"/>
      <c r="C1579" s="655"/>
    </row>
    <row r="1580" spans="2:3">
      <c r="B1580" s="655"/>
      <c r="C1580" s="655"/>
    </row>
    <row r="1581" spans="2:3">
      <c r="B1581" s="655"/>
      <c r="C1581" s="655"/>
    </row>
    <row r="1582" spans="2:3">
      <c r="B1582" s="655"/>
      <c r="C1582" s="655"/>
    </row>
    <row r="1583" spans="2:3">
      <c r="B1583" s="655"/>
      <c r="C1583" s="655"/>
    </row>
    <row r="1584" spans="2:3">
      <c r="B1584" s="655"/>
      <c r="C1584" s="655"/>
    </row>
    <row r="1585" spans="2:3">
      <c r="B1585" s="655"/>
      <c r="C1585" s="655"/>
    </row>
    <row r="1586" spans="2:3">
      <c r="B1586" s="655"/>
      <c r="C1586" s="655"/>
    </row>
    <row r="1587" spans="2:3">
      <c r="B1587" s="655"/>
      <c r="C1587" s="655"/>
    </row>
    <row r="1588" spans="2:3">
      <c r="B1588" s="655"/>
      <c r="C1588" s="655"/>
    </row>
    <row r="1589" spans="2:3">
      <c r="B1589" s="655"/>
      <c r="C1589" s="655"/>
    </row>
    <row r="1590" spans="2:3">
      <c r="B1590" s="655"/>
      <c r="C1590" s="655"/>
    </row>
    <row r="1591" spans="2:3">
      <c r="B1591" s="655"/>
      <c r="C1591" s="655"/>
    </row>
    <row r="1592" spans="2:3">
      <c r="B1592" s="655"/>
      <c r="C1592" s="655"/>
    </row>
    <row r="1593" spans="2:3">
      <c r="B1593" s="655"/>
      <c r="C1593" s="655"/>
    </row>
    <row r="1594" spans="2:3">
      <c r="B1594" s="655"/>
      <c r="C1594" s="655"/>
    </row>
    <row r="1595" spans="2:3">
      <c r="B1595" s="655"/>
      <c r="C1595" s="655"/>
    </row>
    <row r="1596" spans="2:3">
      <c r="B1596" s="655"/>
      <c r="C1596" s="655"/>
    </row>
    <row r="1597" spans="2:3">
      <c r="B1597" s="655"/>
      <c r="C1597" s="655"/>
    </row>
    <row r="1598" spans="2:3">
      <c r="B1598" s="655"/>
      <c r="C1598" s="655"/>
    </row>
    <row r="1599" spans="2:3">
      <c r="B1599" s="655"/>
      <c r="C1599" s="655"/>
    </row>
    <row r="1600" spans="2:3">
      <c r="B1600" s="655"/>
      <c r="C1600" s="655"/>
    </row>
    <row r="1601" spans="2:3">
      <c r="B1601" s="655"/>
      <c r="C1601" s="655"/>
    </row>
    <row r="1602" spans="2:3">
      <c r="B1602" s="655"/>
      <c r="C1602" s="655"/>
    </row>
    <row r="1603" spans="2:3">
      <c r="B1603" s="655"/>
      <c r="C1603" s="655"/>
    </row>
    <row r="1604" spans="2:3">
      <c r="B1604" s="655"/>
      <c r="C1604" s="655"/>
    </row>
    <row r="1605" spans="2:3">
      <c r="B1605" s="655"/>
      <c r="C1605" s="655"/>
    </row>
    <row r="1606" spans="2:3">
      <c r="B1606" s="655"/>
      <c r="C1606" s="655"/>
    </row>
    <row r="1607" spans="2:3">
      <c r="B1607" s="655"/>
      <c r="C1607" s="655"/>
    </row>
    <row r="1608" spans="2:3">
      <c r="B1608" s="655"/>
      <c r="C1608" s="655"/>
    </row>
    <row r="1609" spans="2:3">
      <c r="B1609" s="655"/>
      <c r="C1609" s="655"/>
    </row>
    <row r="1610" spans="2:3">
      <c r="B1610" s="655"/>
      <c r="C1610" s="655"/>
    </row>
    <row r="1611" spans="2:3">
      <c r="B1611" s="655"/>
      <c r="C1611" s="655"/>
    </row>
    <row r="1612" spans="2:3">
      <c r="B1612" s="655"/>
      <c r="C1612" s="655"/>
    </row>
    <row r="1613" spans="2:3">
      <c r="B1613" s="655"/>
      <c r="C1613" s="655"/>
    </row>
    <row r="1614" spans="2:3">
      <c r="B1614" s="655"/>
      <c r="C1614" s="655"/>
    </row>
    <row r="1615" spans="2:3">
      <c r="B1615" s="655"/>
      <c r="C1615" s="655"/>
    </row>
    <row r="1616" spans="2:3">
      <c r="B1616" s="655"/>
      <c r="C1616" s="655"/>
    </row>
    <row r="1617" spans="2:3">
      <c r="B1617" s="655"/>
      <c r="C1617" s="655"/>
    </row>
    <row r="1618" spans="2:3">
      <c r="B1618" s="655"/>
      <c r="C1618" s="655"/>
    </row>
    <row r="1619" spans="2:3">
      <c r="B1619" s="655"/>
      <c r="C1619" s="655"/>
    </row>
    <row r="1620" spans="2:3">
      <c r="B1620" s="655"/>
      <c r="C1620" s="655"/>
    </row>
    <row r="1621" spans="2:3">
      <c r="B1621" s="655"/>
      <c r="C1621" s="655"/>
    </row>
    <row r="1622" spans="2:3">
      <c r="B1622" s="655"/>
      <c r="C1622" s="655"/>
    </row>
    <row r="1623" spans="2:3">
      <c r="B1623" s="655"/>
      <c r="C1623" s="655"/>
    </row>
    <row r="1624" spans="2:3">
      <c r="B1624" s="655"/>
      <c r="C1624" s="655"/>
    </row>
    <row r="1625" spans="2:3">
      <c r="B1625" s="655"/>
      <c r="C1625" s="655"/>
    </row>
    <row r="1626" spans="2:3">
      <c r="B1626" s="655"/>
      <c r="C1626" s="655"/>
    </row>
    <row r="1627" spans="2:3">
      <c r="B1627" s="655"/>
      <c r="C1627" s="655"/>
    </row>
    <row r="1628" spans="2:3">
      <c r="B1628" s="655"/>
      <c r="C1628" s="655"/>
    </row>
    <row r="1629" spans="2:3">
      <c r="B1629" s="655"/>
      <c r="C1629" s="655"/>
    </row>
    <row r="1630" spans="2:3">
      <c r="B1630" s="655"/>
      <c r="C1630" s="655"/>
    </row>
    <row r="1631" spans="2:3">
      <c r="B1631" s="655"/>
      <c r="C1631" s="655"/>
    </row>
    <row r="1632" spans="2:3">
      <c r="B1632" s="655"/>
      <c r="C1632" s="655"/>
    </row>
    <row r="1633" spans="2:3">
      <c r="B1633" s="655"/>
      <c r="C1633" s="655"/>
    </row>
    <row r="1634" spans="2:3">
      <c r="B1634" s="655"/>
      <c r="C1634" s="655"/>
    </row>
    <row r="1635" spans="2:3">
      <c r="B1635" s="655"/>
      <c r="C1635" s="655"/>
    </row>
    <row r="1636" spans="2:3">
      <c r="B1636" s="655"/>
      <c r="C1636" s="655"/>
    </row>
    <row r="1637" spans="2:3">
      <c r="B1637" s="655"/>
      <c r="C1637" s="655"/>
    </row>
    <row r="1638" spans="2:3">
      <c r="B1638" s="655"/>
      <c r="C1638" s="655"/>
    </row>
    <row r="1639" spans="2:3">
      <c r="B1639" s="655"/>
      <c r="C1639" s="655"/>
    </row>
    <row r="1640" spans="2:3">
      <c r="B1640" s="655"/>
      <c r="C1640" s="655"/>
    </row>
    <row r="1641" spans="2:3">
      <c r="B1641" s="655"/>
      <c r="C1641" s="655"/>
    </row>
    <row r="1642" spans="2:3">
      <c r="B1642" s="655"/>
      <c r="C1642" s="655"/>
    </row>
    <row r="1643" spans="2:3">
      <c r="B1643" s="655"/>
      <c r="C1643" s="655"/>
    </row>
    <row r="1644" spans="2:3">
      <c r="B1644" s="655"/>
      <c r="C1644" s="655"/>
    </row>
    <row r="1645" spans="2:3">
      <c r="B1645" s="655"/>
      <c r="C1645" s="655"/>
    </row>
    <row r="1646" spans="2:3">
      <c r="B1646" s="655"/>
      <c r="C1646" s="655"/>
    </row>
    <row r="1647" spans="2:3">
      <c r="B1647" s="655"/>
      <c r="C1647" s="655"/>
    </row>
    <row r="1648" spans="2:3">
      <c r="B1648" s="655"/>
      <c r="C1648" s="655"/>
    </row>
    <row r="1649" spans="2:3">
      <c r="B1649" s="655"/>
      <c r="C1649" s="655"/>
    </row>
    <row r="1650" spans="2:3">
      <c r="B1650" s="655"/>
      <c r="C1650" s="655"/>
    </row>
    <row r="1651" spans="2:3">
      <c r="B1651" s="655"/>
      <c r="C1651" s="655"/>
    </row>
    <row r="1652" spans="2:3">
      <c r="B1652" s="655"/>
      <c r="C1652" s="655"/>
    </row>
    <row r="1653" spans="2:3">
      <c r="B1653" s="655"/>
      <c r="C1653" s="655"/>
    </row>
    <row r="1654" spans="2:3">
      <c r="B1654" s="655"/>
      <c r="C1654" s="655"/>
    </row>
    <row r="1655" spans="2:3">
      <c r="B1655" s="655"/>
      <c r="C1655" s="655"/>
    </row>
    <row r="1656" spans="2:3">
      <c r="B1656" s="655"/>
      <c r="C1656" s="655"/>
    </row>
    <row r="1657" spans="2:3">
      <c r="B1657" s="655"/>
      <c r="C1657" s="655"/>
    </row>
    <row r="1658" spans="2:3">
      <c r="B1658" s="655"/>
      <c r="C1658" s="655"/>
    </row>
    <row r="1659" spans="2:3">
      <c r="B1659" s="655"/>
      <c r="C1659" s="655"/>
    </row>
    <row r="1660" spans="2:3">
      <c r="B1660" s="655"/>
      <c r="C1660" s="655"/>
    </row>
    <row r="1661" spans="2:3">
      <c r="B1661" s="655"/>
      <c r="C1661" s="655"/>
    </row>
    <row r="1662" spans="2:3">
      <c r="B1662" s="655"/>
      <c r="C1662" s="655"/>
    </row>
    <row r="1663" spans="2:3">
      <c r="B1663" s="655"/>
      <c r="C1663" s="655"/>
    </row>
    <row r="1664" spans="2:3">
      <c r="B1664" s="655"/>
      <c r="C1664" s="655"/>
    </row>
    <row r="1665" spans="2:3">
      <c r="B1665" s="655"/>
      <c r="C1665" s="655"/>
    </row>
    <row r="1666" spans="2:3">
      <c r="B1666" s="655"/>
      <c r="C1666" s="655"/>
    </row>
    <row r="1667" spans="2:3">
      <c r="B1667" s="655"/>
      <c r="C1667" s="655"/>
    </row>
    <row r="1668" spans="2:3">
      <c r="B1668" s="655"/>
      <c r="C1668" s="655"/>
    </row>
    <row r="1669" spans="2:3">
      <c r="B1669" s="655"/>
      <c r="C1669" s="655"/>
    </row>
    <row r="1670" spans="2:3">
      <c r="B1670" s="655"/>
      <c r="C1670" s="655"/>
    </row>
    <row r="1671" spans="2:3">
      <c r="B1671" s="655"/>
      <c r="C1671" s="655"/>
    </row>
    <row r="1672" spans="2:3">
      <c r="B1672" s="655"/>
      <c r="C1672" s="655"/>
    </row>
    <row r="1673" spans="2:3">
      <c r="B1673" s="655"/>
      <c r="C1673" s="655"/>
    </row>
    <row r="1674" spans="2:3">
      <c r="B1674" s="655"/>
      <c r="C1674" s="655"/>
    </row>
    <row r="1675" spans="2:3">
      <c r="B1675" s="655"/>
      <c r="C1675" s="655"/>
    </row>
    <row r="1676" spans="2:3">
      <c r="B1676" s="655"/>
      <c r="C1676" s="655"/>
    </row>
    <row r="1677" spans="2:3">
      <c r="B1677" s="655"/>
      <c r="C1677" s="655"/>
    </row>
    <row r="1678" spans="2:3">
      <c r="B1678" s="655"/>
      <c r="C1678" s="655"/>
    </row>
    <row r="1679" spans="2:3">
      <c r="B1679" s="655"/>
      <c r="C1679" s="655"/>
    </row>
    <row r="1680" spans="2:3">
      <c r="B1680" s="655"/>
      <c r="C1680" s="655"/>
    </row>
    <row r="1681" spans="2:3">
      <c r="B1681" s="655"/>
      <c r="C1681" s="655"/>
    </row>
    <row r="1682" spans="2:3">
      <c r="B1682" s="655"/>
      <c r="C1682" s="655"/>
    </row>
    <row r="1683" spans="2:3">
      <c r="B1683" s="655"/>
      <c r="C1683" s="655"/>
    </row>
    <row r="1684" spans="2:3">
      <c r="B1684" s="655"/>
      <c r="C1684" s="655"/>
    </row>
    <row r="1685" spans="2:3">
      <c r="B1685" s="655"/>
      <c r="C1685" s="655"/>
    </row>
    <row r="1686" spans="2:3">
      <c r="B1686" s="655"/>
      <c r="C1686" s="655"/>
    </row>
    <row r="1687" spans="2:3">
      <c r="B1687" s="655"/>
      <c r="C1687" s="655"/>
    </row>
    <row r="1688" spans="2:3">
      <c r="B1688" s="655"/>
      <c r="C1688" s="655"/>
    </row>
    <row r="1689" spans="2:3">
      <c r="B1689" s="655"/>
      <c r="C1689" s="655"/>
    </row>
    <row r="1690" spans="2:3">
      <c r="B1690" s="655"/>
      <c r="C1690" s="655"/>
    </row>
    <row r="1691" spans="2:3">
      <c r="B1691" s="655"/>
      <c r="C1691" s="655"/>
    </row>
    <row r="1692" spans="2:3">
      <c r="B1692" s="655"/>
      <c r="C1692" s="655"/>
    </row>
    <row r="1693" spans="2:3">
      <c r="B1693" s="655"/>
      <c r="C1693" s="655"/>
    </row>
    <row r="1694" spans="2:3">
      <c r="B1694" s="655"/>
      <c r="C1694" s="655"/>
    </row>
    <row r="1695" spans="2:3">
      <c r="B1695" s="655"/>
      <c r="C1695" s="655"/>
    </row>
    <row r="1696" spans="2:3">
      <c r="B1696" s="655"/>
      <c r="C1696" s="655"/>
    </row>
    <row r="1697" spans="2:3">
      <c r="B1697" s="655"/>
      <c r="C1697" s="655"/>
    </row>
    <row r="1698" spans="2:3">
      <c r="B1698" s="655"/>
      <c r="C1698" s="655"/>
    </row>
    <row r="1699" spans="2:3">
      <c r="B1699" s="655"/>
      <c r="C1699" s="655"/>
    </row>
    <row r="1700" spans="2:3">
      <c r="B1700" s="655"/>
      <c r="C1700" s="655"/>
    </row>
    <row r="1701" spans="2:3">
      <c r="B1701" s="655"/>
      <c r="C1701" s="655"/>
    </row>
    <row r="1702" spans="2:3">
      <c r="B1702" s="655"/>
      <c r="C1702" s="655"/>
    </row>
    <row r="1703" spans="2:3">
      <c r="B1703" s="655"/>
      <c r="C1703" s="655"/>
    </row>
    <row r="1704" spans="2:3">
      <c r="B1704" s="655"/>
      <c r="C1704" s="655"/>
    </row>
    <row r="1705" spans="2:3">
      <c r="B1705" s="655"/>
      <c r="C1705" s="655"/>
    </row>
    <row r="1706" spans="2:3">
      <c r="B1706" s="655"/>
      <c r="C1706" s="655"/>
    </row>
    <row r="1707" spans="2:3">
      <c r="B1707" s="655"/>
      <c r="C1707" s="655"/>
    </row>
    <row r="1708" spans="2:3">
      <c r="B1708" s="655"/>
      <c r="C1708" s="655"/>
    </row>
    <row r="1709" spans="2:3">
      <c r="B1709" s="655"/>
      <c r="C1709" s="655"/>
    </row>
    <row r="1710" spans="2:3">
      <c r="B1710" s="655"/>
      <c r="C1710" s="655"/>
    </row>
    <row r="1711" spans="2:3">
      <c r="B1711" s="655"/>
      <c r="C1711" s="655"/>
    </row>
    <row r="1712" spans="2:3">
      <c r="B1712" s="655"/>
      <c r="C1712" s="655"/>
    </row>
    <row r="1713" spans="2:3">
      <c r="B1713" s="655"/>
      <c r="C1713" s="655"/>
    </row>
    <row r="1714" spans="2:3">
      <c r="B1714" s="655"/>
      <c r="C1714" s="655"/>
    </row>
    <row r="1715" spans="2:3">
      <c r="B1715" s="655"/>
      <c r="C1715" s="655"/>
    </row>
    <row r="1716" spans="2:3">
      <c r="B1716" s="655"/>
      <c r="C1716" s="655"/>
    </row>
    <row r="1717" spans="2:3">
      <c r="B1717" s="655"/>
      <c r="C1717" s="655"/>
    </row>
    <row r="1718" spans="2:3">
      <c r="B1718" s="655"/>
      <c r="C1718" s="655"/>
    </row>
    <row r="1719" spans="2:3">
      <c r="B1719" s="655"/>
      <c r="C1719" s="655"/>
    </row>
    <row r="1720" spans="2:3">
      <c r="B1720" s="655"/>
      <c r="C1720" s="655"/>
    </row>
    <row r="1721" spans="2:3">
      <c r="B1721" s="655"/>
      <c r="C1721" s="655"/>
    </row>
    <row r="1722" spans="2:3">
      <c r="B1722" s="655"/>
      <c r="C1722" s="655"/>
    </row>
    <row r="1723" spans="2:3">
      <c r="B1723" s="655"/>
      <c r="C1723" s="655"/>
    </row>
    <row r="1724" spans="2:3">
      <c r="B1724" s="655"/>
      <c r="C1724" s="655"/>
    </row>
    <row r="1725" spans="2:3">
      <c r="B1725" s="655"/>
      <c r="C1725" s="655"/>
    </row>
    <row r="1726" spans="2:3">
      <c r="B1726" s="655"/>
      <c r="C1726" s="655"/>
    </row>
    <row r="1727" spans="2:3">
      <c r="B1727" s="655"/>
      <c r="C1727" s="655"/>
    </row>
    <row r="1728" spans="2:3">
      <c r="B1728" s="655"/>
      <c r="C1728" s="655"/>
    </row>
    <row r="1729" spans="2:3">
      <c r="B1729" s="655"/>
      <c r="C1729" s="655"/>
    </row>
    <row r="1730" spans="2:3">
      <c r="B1730" s="655"/>
      <c r="C1730" s="655"/>
    </row>
    <row r="1731" spans="2:3">
      <c r="B1731" s="655"/>
      <c r="C1731" s="655"/>
    </row>
    <row r="1732" spans="2:3">
      <c r="B1732" s="655"/>
      <c r="C1732" s="655"/>
    </row>
    <row r="1733" spans="2:3">
      <c r="B1733" s="655"/>
      <c r="C1733" s="655"/>
    </row>
    <row r="1734" spans="2:3">
      <c r="B1734" s="655"/>
      <c r="C1734" s="655"/>
    </row>
    <row r="1735" spans="2:3">
      <c r="B1735" s="655"/>
      <c r="C1735" s="655"/>
    </row>
    <row r="1736" spans="2:3">
      <c r="B1736" s="655"/>
      <c r="C1736" s="655"/>
    </row>
    <row r="1737" spans="2:3">
      <c r="B1737" s="655"/>
      <c r="C1737" s="655"/>
    </row>
    <row r="1738" spans="2:3">
      <c r="B1738" s="655"/>
      <c r="C1738" s="655"/>
    </row>
    <row r="1739" spans="2:3">
      <c r="B1739" s="655"/>
      <c r="C1739" s="655"/>
    </row>
    <row r="1740" spans="2:3">
      <c r="B1740" s="655"/>
      <c r="C1740" s="655"/>
    </row>
    <row r="1741" spans="2:3">
      <c r="B1741" s="655"/>
      <c r="C1741" s="655"/>
    </row>
    <row r="1742" spans="2:3">
      <c r="B1742" s="655"/>
      <c r="C1742" s="655"/>
    </row>
    <row r="1743" spans="2:3">
      <c r="B1743" s="655"/>
      <c r="C1743" s="655"/>
    </row>
    <row r="1744" spans="2:3">
      <c r="B1744" s="655"/>
      <c r="C1744" s="655"/>
    </row>
    <row r="1745" spans="2:3">
      <c r="B1745" s="655"/>
      <c r="C1745" s="655"/>
    </row>
    <row r="1746" spans="2:3">
      <c r="B1746" s="655"/>
      <c r="C1746" s="655"/>
    </row>
    <row r="1747" spans="2:3">
      <c r="B1747" s="655"/>
      <c r="C1747" s="655"/>
    </row>
    <row r="1748" spans="2:3">
      <c r="B1748" s="655"/>
      <c r="C1748" s="655"/>
    </row>
    <row r="1749" spans="2:3">
      <c r="B1749" s="655"/>
      <c r="C1749" s="655"/>
    </row>
    <row r="1750" spans="2:3">
      <c r="B1750" s="655"/>
      <c r="C1750" s="655"/>
    </row>
    <row r="1751" spans="2:3">
      <c r="B1751" s="655"/>
      <c r="C1751" s="655"/>
    </row>
    <row r="1752" spans="2:3">
      <c r="B1752" s="655"/>
      <c r="C1752" s="655"/>
    </row>
    <row r="1753" spans="2:3">
      <c r="B1753" s="655"/>
      <c r="C1753" s="655"/>
    </row>
    <row r="1754" spans="2:3">
      <c r="B1754" s="655"/>
      <c r="C1754" s="655"/>
    </row>
    <row r="1755" spans="2:3">
      <c r="B1755" s="655"/>
      <c r="C1755" s="655"/>
    </row>
    <row r="1756" spans="2:3">
      <c r="B1756" s="655"/>
      <c r="C1756" s="655"/>
    </row>
    <row r="1757" spans="2:3">
      <c r="B1757" s="655"/>
      <c r="C1757" s="655"/>
    </row>
    <row r="1758" spans="2:3">
      <c r="B1758" s="655"/>
      <c r="C1758" s="655"/>
    </row>
    <row r="1759" spans="2:3">
      <c r="B1759" s="655"/>
      <c r="C1759" s="655"/>
    </row>
    <row r="1760" spans="2:3">
      <c r="B1760" s="655"/>
      <c r="C1760" s="655"/>
    </row>
    <row r="1761" spans="2:3">
      <c r="B1761" s="655"/>
      <c r="C1761" s="655"/>
    </row>
    <row r="1762" spans="2:3">
      <c r="B1762" s="655"/>
      <c r="C1762" s="655"/>
    </row>
    <row r="1763" spans="2:3">
      <c r="B1763" s="655"/>
      <c r="C1763" s="655"/>
    </row>
    <row r="1764" spans="2:3">
      <c r="B1764" s="655"/>
      <c r="C1764" s="655"/>
    </row>
    <row r="1765" spans="2:3">
      <c r="B1765" s="655"/>
      <c r="C1765" s="655"/>
    </row>
    <row r="1766" spans="2:3">
      <c r="B1766" s="655"/>
      <c r="C1766" s="655"/>
    </row>
    <row r="1767" spans="2:3">
      <c r="B1767" s="655"/>
      <c r="C1767" s="655"/>
    </row>
    <row r="1768" spans="2:3">
      <c r="B1768" s="655"/>
      <c r="C1768" s="655"/>
    </row>
    <row r="1769" spans="2:3">
      <c r="B1769" s="655"/>
      <c r="C1769" s="655"/>
    </row>
    <row r="1770" spans="2:3">
      <c r="B1770" s="655"/>
      <c r="C1770" s="655"/>
    </row>
    <row r="1771" spans="2:3">
      <c r="B1771" s="655"/>
      <c r="C1771" s="655"/>
    </row>
    <row r="1772" spans="2:3">
      <c r="B1772" s="655"/>
      <c r="C1772" s="655"/>
    </row>
    <row r="1773" spans="2:3">
      <c r="B1773" s="655"/>
      <c r="C1773" s="655"/>
    </row>
    <row r="1774" spans="2:3">
      <c r="B1774" s="655"/>
      <c r="C1774" s="655"/>
    </row>
    <row r="1775" spans="2:3">
      <c r="B1775" s="655"/>
      <c r="C1775" s="655"/>
    </row>
    <row r="1776" spans="2:3">
      <c r="B1776" s="655"/>
      <c r="C1776" s="655"/>
    </row>
    <row r="1777" spans="2:3">
      <c r="B1777" s="655"/>
      <c r="C1777" s="655"/>
    </row>
    <row r="1778" spans="2:3">
      <c r="B1778" s="655"/>
      <c r="C1778" s="655"/>
    </row>
    <row r="1779" spans="2:3">
      <c r="B1779" s="655"/>
      <c r="C1779" s="655"/>
    </row>
    <row r="1780" spans="2:3">
      <c r="B1780" s="655"/>
      <c r="C1780" s="655"/>
    </row>
    <row r="1781" spans="2:3">
      <c r="B1781" s="655"/>
      <c r="C1781" s="655"/>
    </row>
    <row r="1782" spans="2:3">
      <c r="B1782" s="655"/>
      <c r="C1782" s="655"/>
    </row>
    <row r="1783" spans="2:3">
      <c r="B1783" s="655"/>
      <c r="C1783" s="655"/>
    </row>
    <row r="1784" spans="2:3">
      <c r="B1784" s="655"/>
      <c r="C1784" s="655"/>
    </row>
    <row r="1785" spans="2:3">
      <c r="B1785" s="655"/>
      <c r="C1785" s="655"/>
    </row>
    <row r="1786" spans="2:3">
      <c r="B1786" s="655"/>
      <c r="C1786" s="655"/>
    </row>
    <row r="1787" spans="2:3">
      <c r="B1787" s="655"/>
      <c r="C1787" s="655"/>
    </row>
    <row r="1788" spans="2:3">
      <c r="B1788" s="655"/>
      <c r="C1788" s="655"/>
    </row>
    <row r="1789" spans="2:3">
      <c r="B1789" s="655"/>
      <c r="C1789" s="655"/>
    </row>
    <row r="1790" spans="2:3">
      <c r="B1790" s="655"/>
      <c r="C1790" s="655"/>
    </row>
    <row r="1791" spans="2:3">
      <c r="B1791" s="655"/>
      <c r="C1791" s="655"/>
    </row>
    <row r="1792" spans="2:3">
      <c r="B1792" s="655"/>
      <c r="C1792" s="655"/>
    </row>
    <row r="1793" spans="2:3">
      <c r="B1793" s="655"/>
      <c r="C1793" s="655"/>
    </row>
    <row r="1794" spans="2:3">
      <c r="B1794" s="655"/>
      <c r="C1794" s="655"/>
    </row>
    <row r="1795" spans="2:3">
      <c r="B1795" s="655"/>
      <c r="C1795" s="655"/>
    </row>
    <row r="1796" spans="2:3">
      <c r="B1796" s="655"/>
      <c r="C1796" s="655"/>
    </row>
    <row r="1797" spans="2:3">
      <c r="B1797" s="655"/>
      <c r="C1797" s="655"/>
    </row>
    <row r="1798" spans="2:3">
      <c r="B1798" s="655"/>
      <c r="C1798" s="655"/>
    </row>
    <row r="1799" spans="2:3">
      <c r="B1799" s="655"/>
      <c r="C1799" s="655"/>
    </row>
    <row r="1800" spans="2:3">
      <c r="B1800" s="655"/>
      <c r="C1800" s="655"/>
    </row>
    <row r="1801" spans="2:3">
      <c r="B1801" s="655"/>
      <c r="C1801" s="655"/>
    </row>
    <row r="1802" spans="2:3">
      <c r="B1802" s="655"/>
      <c r="C1802" s="655"/>
    </row>
    <row r="1803" spans="2:3">
      <c r="B1803" s="655"/>
      <c r="C1803" s="655"/>
    </row>
    <row r="1804" spans="2:3">
      <c r="B1804" s="655"/>
      <c r="C1804" s="655"/>
    </row>
    <row r="1805" spans="2:3">
      <c r="B1805" s="655"/>
      <c r="C1805" s="655"/>
    </row>
    <row r="1806" spans="2:3">
      <c r="B1806" s="655"/>
      <c r="C1806" s="655"/>
    </row>
    <row r="1807" spans="2:3">
      <c r="B1807" s="655"/>
      <c r="C1807" s="655"/>
    </row>
    <row r="1808" spans="2:3">
      <c r="B1808" s="655"/>
      <c r="C1808" s="655"/>
    </row>
    <row r="1809" spans="2:3">
      <c r="B1809" s="655"/>
      <c r="C1809" s="655"/>
    </row>
    <row r="1810" spans="2:3">
      <c r="B1810" s="655"/>
      <c r="C1810" s="655"/>
    </row>
    <row r="1811" spans="2:3">
      <c r="B1811" s="655"/>
      <c r="C1811" s="655"/>
    </row>
    <row r="1812" spans="2:3">
      <c r="B1812" s="655"/>
      <c r="C1812" s="655"/>
    </row>
    <row r="1813" spans="2:3">
      <c r="B1813" s="655"/>
      <c r="C1813" s="655"/>
    </row>
    <row r="1814" spans="2:3">
      <c r="B1814" s="655"/>
      <c r="C1814" s="655"/>
    </row>
    <row r="1815" spans="2:3">
      <c r="B1815" s="655"/>
      <c r="C1815" s="655"/>
    </row>
    <row r="1816" spans="2:3">
      <c r="B1816" s="655"/>
      <c r="C1816" s="655"/>
    </row>
    <row r="1817" spans="2:3">
      <c r="B1817" s="655"/>
      <c r="C1817" s="655"/>
    </row>
    <row r="1818" spans="2:3">
      <c r="B1818" s="655"/>
      <c r="C1818" s="655"/>
    </row>
    <row r="1819" spans="2:3">
      <c r="B1819" s="655"/>
      <c r="C1819" s="655"/>
    </row>
    <row r="1820" spans="2:3">
      <c r="B1820" s="655"/>
      <c r="C1820" s="655"/>
    </row>
    <row r="1821" spans="2:3">
      <c r="B1821" s="655"/>
      <c r="C1821" s="655"/>
    </row>
    <row r="1822" spans="2:3">
      <c r="B1822" s="655"/>
      <c r="C1822" s="655"/>
    </row>
    <row r="1823" spans="2:3">
      <c r="B1823" s="655"/>
      <c r="C1823" s="655"/>
    </row>
    <row r="1824" spans="2:3">
      <c r="B1824" s="655"/>
      <c r="C1824" s="655"/>
    </row>
    <row r="1825" spans="2:3">
      <c r="B1825" s="655"/>
      <c r="C1825" s="655"/>
    </row>
    <row r="1826" spans="2:3">
      <c r="B1826" s="655"/>
      <c r="C1826" s="655"/>
    </row>
    <row r="1827" spans="2:3">
      <c r="B1827" s="655"/>
      <c r="C1827" s="655"/>
    </row>
    <row r="1828" spans="2:3">
      <c r="B1828" s="655"/>
      <c r="C1828" s="655"/>
    </row>
    <row r="1829" spans="2:3">
      <c r="B1829" s="655"/>
      <c r="C1829" s="655"/>
    </row>
    <row r="1830" spans="2:3">
      <c r="B1830" s="655"/>
      <c r="C1830" s="655"/>
    </row>
    <row r="1831" spans="2:3">
      <c r="B1831" s="655"/>
      <c r="C1831" s="655"/>
    </row>
    <row r="1832" spans="2:3">
      <c r="B1832" s="655"/>
      <c r="C1832" s="655"/>
    </row>
    <row r="1833" spans="2:3">
      <c r="B1833" s="655"/>
      <c r="C1833" s="655"/>
    </row>
    <row r="1834" spans="2:3">
      <c r="B1834" s="655"/>
      <c r="C1834" s="655"/>
    </row>
    <row r="1835" spans="2:3">
      <c r="B1835" s="655"/>
      <c r="C1835" s="655"/>
    </row>
    <row r="1836" spans="2:3">
      <c r="B1836" s="655"/>
      <c r="C1836" s="655"/>
    </row>
    <row r="1837" spans="2:3">
      <c r="B1837" s="655"/>
      <c r="C1837" s="655"/>
    </row>
    <row r="1838" spans="2:3">
      <c r="B1838" s="655"/>
      <c r="C1838" s="655"/>
    </row>
    <row r="1839" spans="2:3">
      <c r="B1839" s="655"/>
      <c r="C1839" s="655"/>
    </row>
    <row r="1840" spans="2:3">
      <c r="B1840" s="655"/>
      <c r="C1840" s="655"/>
    </row>
    <row r="1841" spans="2:3">
      <c r="B1841" s="655"/>
      <c r="C1841" s="655"/>
    </row>
    <row r="1842" spans="2:3">
      <c r="B1842" s="655"/>
      <c r="C1842" s="655"/>
    </row>
    <row r="1843" spans="2:3">
      <c r="B1843" s="655"/>
      <c r="C1843" s="655"/>
    </row>
    <row r="1844" spans="2:3">
      <c r="B1844" s="655"/>
      <c r="C1844" s="655"/>
    </row>
    <row r="1845" spans="2:3">
      <c r="B1845" s="655"/>
      <c r="C1845" s="655"/>
    </row>
    <row r="1846" spans="2:3">
      <c r="B1846" s="655"/>
      <c r="C1846" s="655"/>
    </row>
    <row r="1847" spans="2:3">
      <c r="B1847" s="655"/>
      <c r="C1847" s="655"/>
    </row>
    <row r="1848" spans="2:3">
      <c r="B1848" s="655"/>
      <c r="C1848" s="655"/>
    </row>
    <row r="1849" spans="2:3">
      <c r="B1849" s="655"/>
      <c r="C1849" s="655"/>
    </row>
    <row r="1850" spans="2:3">
      <c r="B1850" s="655"/>
      <c r="C1850" s="655"/>
    </row>
    <row r="1851" spans="2:3">
      <c r="B1851" s="655"/>
      <c r="C1851" s="655"/>
    </row>
    <row r="1852" spans="2:3">
      <c r="B1852" s="655"/>
      <c r="C1852" s="655"/>
    </row>
    <row r="1853" spans="2:3">
      <c r="B1853" s="655"/>
      <c r="C1853" s="655"/>
    </row>
    <row r="1854" spans="2:3">
      <c r="B1854" s="655"/>
      <c r="C1854" s="655"/>
    </row>
    <row r="1855" spans="2:3">
      <c r="B1855" s="655"/>
      <c r="C1855" s="655"/>
    </row>
    <row r="1856" spans="2:3">
      <c r="B1856" s="655"/>
      <c r="C1856" s="655"/>
    </row>
    <row r="1857" spans="2:3">
      <c r="B1857" s="655"/>
      <c r="C1857" s="655"/>
    </row>
    <row r="1858" spans="2:3">
      <c r="B1858" s="655"/>
      <c r="C1858" s="655"/>
    </row>
    <row r="1859" spans="2:3">
      <c r="B1859" s="655"/>
      <c r="C1859" s="655"/>
    </row>
    <row r="1860" spans="2:3">
      <c r="B1860" s="655"/>
      <c r="C1860" s="655"/>
    </row>
    <row r="1861" spans="2:3">
      <c r="B1861" s="655"/>
      <c r="C1861" s="655"/>
    </row>
    <row r="1862" spans="2:3">
      <c r="B1862" s="655"/>
      <c r="C1862" s="655"/>
    </row>
    <row r="1863" spans="2:3">
      <c r="B1863" s="655"/>
      <c r="C1863" s="655"/>
    </row>
    <row r="1864" spans="2:3">
      <c r="B1864" s="655"/>
      <c r="C1864" s="655"/>
    </row>
    <row r="1865" spans="2:3">
      <c r="B1865" s="655"/>
      <c r="C1865" s="655"/>
    </row>
    <row r="1866" spans="2:3">
      <c r="B1866" s="655"/>
      <c r="C1866" s="655"/>
    </row>
    <row r="1867" spans="2:3">
      <c r="B1867" s="655"/>
      <c r="C1867" s="655"/>
    </row>
    <row r="1868" spans="2:3">
      <c r="B1868" s="655"/>
      <c r="C1868" s="655"/>
    </row>
    <row r="1869" spans="2:3">
      <c r="B1869" s="655"/>
      <c r="C1869" s="655"/>
    </row>
    <row r="1870" spans="2:3">
      <c r="B1870" s="655"/>
      <c r="C1870" s="655"/>
    </row>
    <row r="1871" spans="2:3">
      <c r="B1871" s="655"/>
      <c r="C1871" s="655"/>
    </row>
    <row r="1872" spans="2:3">
      <c r="B1872" s="655"/>
      <c r="C1872" s="655"/>
    </row>
    <row r="1873" spans="2:3">
      <c r="B1873" s="655"/>
      <c r="C1873" s="655"/>
    </row>
    <row r="1874" spans="2:3">
      <c r="B1874" s="655"/>
      <c r="C1874" s="655"/>
    </row>
    <row r="1875" spans="2:3">
      <c r="B1875" s="655"/>
      <c r="C1875" s="655"/>
    </row>
    <row r="1876" spans="2:3">
      <c r="B1876" s="655"/>
      <c r="C1876" s="655"/>
    </row>
    <row r="1877" spans="2:3">
      <c r="B1877" s="655"/>
      <c r="C1877" s="655"/>
    </row>
    <row r="1878" spans="2:3">
      <c r="B1878" s="655"/>
      <c r="C1878" s="655"/>
    </row>
    <row r="1879" spans="2:3">
      <c r="B1879" s="655"/>
      <c r="C1879" s="655"/>
    </row>
    <row r="1880" spans="2:3">
      <c r="B1880" s="655"/>
      <c r="C1880" s="655"/>
    </row>
    <row r="1881" spans="2:3">
      <c r="B1881" s="655"/>
      <c r="C1881" s="655"/>
    </row>
    <row r="1882" spans="2:3">
      <c r="B1882" s="655"/>
      <c r="C1882" s="655"/>
    </row>
    <row r="1883" spans="2:3">
      <c r="B1883" s="655"/>
      <c r="C1883" s="655"/>
    </row>
    <row r="1884" spans="2:3">
      <c r="B1884" s="655"/>
      <c r="C1884" s="655"/>
    </row>
    <row r="1885" spans="2:3">
      <c r="B1885" s="655"/>
      <c r="C1885" s="655"/>
    </row>
    <row r="1886" spans="2:3">
      <c r="B1886" s="655"/>
      <c r="C1886" s="655"/>
    </row>
    <row r="1887" spans="2:3">
      <c r="B1887" s="655"/>
      <c r="C1887" s="655"/>
    </row>
    <row r="1888" spans="2:3">
      <c r="B1888" s="655"/>
      <c r="C1888" s="655"/>
    </row>
    <row r="1889" spans="2:3">
      <c r="B1889" s="655"/>
      <c r="C1889" s="655"/>
    </row>
    <row r="1890" spans="2:3">
      <c r="B1890" s="655"/>
      <c r="C1890" s="655"/>
    </row>
    <row r="1891" spans="2:3">
      <c r="B1891" s="655"/>
      <c r="C1891" s="655"/>
    </row>
    <row r="1892" spans="2:3">
      <c r="B1892" s="655"/>
      <c r="C1892" s="655"/>
    </row>
    <row r="1893" spans="2:3">
      <c r="B1893" s="655"/>
      <c r="C1893" s="655"/>
    </row>
    <row r="1894" spans="2:3">
      <c r="B1894" s="655"/>
      <c r="C1894" s="655"/>
    </row>
    <row r="1895" spans="2:3">
      <c r="B1895" s="655"/>
      <c r="C1895" s="655"/>
    </row>
    <row r="1896" spans="2:3">
      <c r="B1896" s="655"/>
      <c r="C1896" s="655"/>
    </row>
    <row r="1897" spans="2:3">
      <c r="B1897" s="655"/>
      <c r="C1897" s="655"/>
    </row>
    <row r="1898" spans="2:3">
      <c r="B1898" s="655"/>
      <c r="C1898" s="655"/>
    </row>
    <row r="1899" spans="2:3">
      <c r="B1899" s="655"/>
      <c r="C1899" s="655"/>
    </row>
    <row r="1900" spans="2:3">
      <c r="B1900" s="655"/>
      <c r="C1900" s="655"/>
    </row>
    <row r="1901" spans="2:3">
      <c r="B1901" s="655"/>
      <c r="C1901" s="655"/>
    </row>
    <row r="1902" spans="2:3">
      <c r="B1902" s="655"/>
      <c r="C1902" s="655"/>
    </row>
    <row r="1903" spans="2:3">
      <c r="B1903" s="655"/>
      <c r="C1903" s="655"/>
    </row>
    <row r="1904" spans="2:3">
      <c r="B1904" s="655"/>
      <c r="C1904" s="655"/>
    </row>
    <row r="1905" spans="2:3">
      <c r="B1905" s="655"/>
      <c r="C1905" s="655"/>
    </row>
    <row r="1906" spans="2:3">
      <c r="B1906" s="655"/>
      <c r="C1906" s="655"/>
    </row>
    <row r="1907" spans="2:3">
      <c r="B1907" s="655"/>
      <c r="C1907" s="655"/>
    </row>
    <row r="1908" spans="2:3">
      <c r="B1908" s="655"/>
      <c r="C1908" s="655"/>
    </row>
    <row r="1909" spans="2:3">
      <c r="B1909" s="655"/>
      <c r="C1909" s="655"/>
    </row>
    <row r="1910" spans="2:3">
      <c r="B1910" s="655"/>
      <c r="C1910" s="655"/>
    </row>
    <row r="1911" spans="2:3">
      <c r="B1911" s="655"/>
      <c r="C1911" s="655"/>
    </row>
    <row r="1912" spans="2:3">
      <c r="B1912" s="655"/>
      <c r="C1912" s="655"/>
    </row>
    <row r="1913" spans="2:3">
      <c r="B1913" s="655"/>
      <c r="C1913" s="655"/>
    </row>
    <row r="1914" spans="2:3">
      <c r="B1914" s="655"/>
      <c r="C1914" s="655"/>
    </row>
    <row r="1915" spans="2:3">
      <c r="B1915" s="655"/>
      <c r="C1915" s="655"/>
    </row>
    <row r="1916" spans="2:3">
      <c r="B1916" s="655"/>
      <c r="C1916" s="655"/>
    </row>
    <row r="1917" spans="2:3">
      <c r="B1917" s="655"/>
      <c r="C1917" s="655"/>
    </row>
    <row r="1918" spans="2:3">
      <c r="B1918" s="655"/>
      <c r="C1918" s="655"/>
    </row>
    <row r="1919" spans="2:3">
      <c r="B1919" s="655"/>
      <c r="C1919" s="655"/>
    </row>
  </sheetData>
  <pageMargins left="0.7" right="0.7" top="0.75" bottom="0.75" header="0.3" footer="0.3"/>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R66"/>
  <sheetViews>
    <sheetView workbookViewId="0">
      <selection activeCell="F25" sqref="F25:I25"/>
    </sheetView>
  </sheetViews>
  <sheetFormatPr baseColWidth="10" defaultColWidth="0" defaultRowHeight="16" zeroHeight="1"/>
  <cols>
    <col min="1" max="1" width="9" customWidth="1"/>
    <col min="2" max="2" width="44.5" customWidth="1"/>
    <col min="3" max="3" width="15.5" hidden="1" customWidth="1"/>
    <col min="4" max="5" width="15.6640625" customWidth="1"/>
    <col min="6" max="6" width="15.1640625" customWidth="1"/>
    <col min="7" max="13" width="9" customWidth="1"/>
    <col min="14" max="16" width="9" hidden="1" customWidth="1"/>
    <col min="17" max="18" width="0" hidden="1" customWidth="1"/>
    <col min="19" max="16384" width="9" hidden="1"/>
  </cols>
  <sheetData>
    <row r="1" spans="1:12"/>
    <row r="2" spans="1:12" ht="17" thickBot="1">
      <c r="K2" s="155"/>
    </row>
    <row r="3" spans="1:12" ht="19">
      <c r="B3" s="1047" t="s">
        <v>85</v>
      </c>
      <c r="C3" s="1048"/>
      <c r="D3" s="1048"/>
      <c r="E3" s="1048"/>
      <c r="F3" s="1048"/>
      <c r="G3" s="1048"/>
      <c r="H3" s="1048"/>
      <c r="I3" s="1049"/>
      <c r="J3" s="142"/>
      <c r="K3" s="155"/>
    </row>
    <row r="4" spans="1:12" ht="20" thickBot="1">
      <c r="B4" s="1050" t="s">
        <v>86</v>
      </c>
      <c r="C4" s="1051"/>
      <c r="D4" s="1051"/>
      <c r="E4" s="1051"/>
      <c r="F4" s="1051"/>
      <c r="G4" s="1051"/>
      <c r="H4" s="1051"/>
      <c r="I4" s="1052"/>
      <c r="J4" s="142"/>
      <c r="K4" s="155"/>
    </row>
    <row r="5" spans="1:12">
      <c r="K5" s="155"/>
    </row>
    <row r="6" spans="1:12" s="158" customFormat="1" ht="21" thickBot="1">
      <c r="B6" s="12" t="s">
        <v>46</v>
      </c>
      <c r="K6" s="156"/>
    </row>
    <row r="7" spans="1:12" s="158" customFormat="1" ht="35" thickBot="1">
      <c r="B7" s="16" t="s">
        <v>54</v>
      </c>
      <c r="C7" s="17"/>
      <c r="D7" s="18" t="s">
        <v>49</v>
      </c>
      <c r="E7" s="18" t="s">
        <v>50</v>
      </c>
      <c r="F7" s="1053" t="s">
        <v>91</v>
      </c>
      <c r="G7" s="1054"/>
      <c r="H7" s="1054"/>
      <c r="I7" s="1055"/>
      <c r="J7" s="159"/>
      <c r="K7" s="156"/>
    </row>
    <row r="8" spans="1:12" s="158" customFormat="1" ht="15.5" customHeight="1">
      <c r="B8" s="6" t="s">
        <v>0</v>
      </c>
      <c r="C8" s="219"/>
      <c r="D8" s="1056">
        <f>'Calculator '!D8:E8</f>
        <v>0</v>
      </c>
      <c r="E8" s="1056"/>
      <c r="F8" s="1027" t="s">
        <v>3</v>
      </c>
      <c r="G8" s="1027"/>
      <c r="H8" s="1027"/>
      <c r="I8" s="1028"/>
      <c r="J8" s="159"/>
      <c r="K8" s="156"/>
    </row>
    <row r="9" spans="1:12" s="216" customFormat="1" ht="17">
      <c r="B9" s="8" t="s">
        <v>1</v>
      </c>
      <c r="C9" s="215"/>
      <c r="D9" s="1026">
        <f>'Calculator '!D9</f>
        <v>0</v>
      </c>
      <c r="E9" s="1026"/>
      <c r="F9" s="968" t="s">
        <v>4</v>
      </c>
      <c r="G9" s="968"/>
      <c r="H9" s="968"/>
      <c r="I9" s="969"/>
      <c r="J9" s="171"/>
      <c r="K9" s="156"/>
    </row>
    <row r="10" spans="1:12" s="158" customFormat="1" ht="17">
      <c r="B10" s="8" t="s">
        <v>10</v>
      </c>
      <c r="C10" s="215"/>
      <c r="D10" s="1026" t="str">
        <f>'Calculator '!D10</f>
        <v>Solid</v>
      </c>
      <c r="E10" s="1026"/>
      <c r="F10" s="968"/>
      <c r="G10" s="968"/>
      <c r="H10" s="968"/>
      <c r="I10" s="969"/>
      <c r="J10" s="159"/>
      <c r="K10" s="156"/>
    </row>
    <row r="11" spans="1:12" s="158" customFormat="1" ht="17">
      <c r="B11" s="8" t="s">
        <v>279</v>
      </c>
      <c r="C11" s="215"/>
      <c r="D11" s="1026">
        <f>'Calculator '!D11</f>
        <v>0</v>
      </c>
      <c r="E11" s="1026"/>
      <c r="F11" s="968"/>
      <c r="G11" s="968"/>
      <c r="H11" s="968"/>
      <c r="I11" s="969"/>
      <c r="J11" s="159"/>
      <c r="K11" s="156"/>
    </row>
    <row r="12" spans="1:12" s="158" customFormat="1" ht="17">
      <c r="B12" s="8" t="s">
        <v>11</v>
      </c>
      <c r="C12" s="215" t="s">
        <v>12</v>
      </c>
      <c r="D12" s="218">
        <f>'Calculator '!D12</f>
        <v>0</v>
      </c>
      <c r="E12" s="218">
        <f>'Calculator '!E12</f>
        <v>0</v>
      </c>
      <c r="F12" s="968"/>
      <c r="G12" s="968"/>
      <c r="H12" s="968"/>
      <c r="I12" s="969"/>
      <c r="J12" s="159"/>
      <c r="K12" s="156"/>
      <c r="L12" s="350"/>
    </row>
    <row r="13" spans="1:12" s="158" customFormat="1" ht="15.5" customHeight="1">
      <c r="B13" s="8" t="s">
        <v>13</v>
      </c>
      <c r="C13" s="215" t="s">
        <v>12</v>
      </c>
      <c r="D13" s="218">
        <f>'Calculator '!D13</f>
        <v>0</v>
      </c>
      <c r="E13" s="218">
        <f>'Calculator '!E13</f>
        <v>0</v>
      </c>
      <c r="F13" s="968"/>
      <c r="G13" s="968"/>
      <c r="H13" s="968"/>
      <c r="I13" s="969"/>
      <c r="J13" s="159"/>
      <c r="K13" s="156"/>
    </row>
    <row r="14" spans="1:12" s="223" customFormat="1" ht="15.5" customHeight="1" thickBot="1">
      <c r="B14" s="209"/>
      <c r="C14" s="165"/>
      <c r="D14" s="276"/>
      <c r="E14" s="276"/>
      <c r="F14" s="277"/>
      <c r="G14" s="278"/>
      <c r="H14" s="278"/>
      <c r="I14" s="279"/>
      <c r="J14" s="171"/>
      <c r="K14" s="156"/>
    </row>
    <row r="15" spans="1:12" s="216" customFormat="1" ht="18" thickBot="1">
      <c r="B15" s="224" t="s">
        <v>29</v>
      </c>
      <c r="C15" s="226" t="s">
        <v>233</v>
      </c>
      <c r="D15" s="228">
        <f>'Calculator '!D17</f>
        <v>0</v>
      </c>
      <c r="E15" s="228">
        <f>'Calculator '!E17</f>
        <v>0</v>
      </c>
      <c r="F15" s="1042" t="s">
        <v>36</v>
      </c>
      <c r="G15" s="1042"/>
      <c r="H15" s="1042"/>
      <c r="I15" s="1043"/>
      <c r="J15" s="171"/>
      <c r="K15" s="156"/>
    </row>
    <row r="16" spans="1:12" s="216" customFormat="1" ht="18" thickBot="1">
      <c r="A16" s="171"/>
      <c r="B16" s="271" t="s">
        <v>700</v>
      </c>
      <c r="C16" s="272" t="str">
        <f>'Calculator '!C18</f>
        <v>tons/hr.</v>
      </c>
      <c r="D16" s="228">
        <f>'Calculator '!D18</f>
        <v>0</v>
      </c>
      <c r="E16" s="228">
        <f>'Calculator '!E18</f>
        <v>0</v>
      </c>
      <c r="F16" s="273"/>
      <c r="G16" s="274"/>
      <c r="H16" s="274"/>
      <c r="I16" s="275"/>
      <c r="J16" s="171"/>
      <c r="K16" s="156"/>
    </row>
    <row r="17" spans="1:11" s="216" customFormat="1" ht="18" thickBot="1">
      <c r="A17" s="171"/>
      <c r="B17" s="10" t="s">
        <v>701</v>
      </c>
      <c r="C17" s="222" t="s">
        <v>204</v>
      </c>
      <c r="D17" s="228">
        <f>'Calculator '!D19</f>
        <v>0</v>
      </c>
      <c r="E17" s="228">
        <f>'Calculator '!E19</f>
        <v>0</v>
      </c>
      <c r="F17" s="1044" t="s">
        <v>36</v>
      </c>
      <c r="G17" s="1045"/>
      <c r="H17" s="1045"/>
      <c r="I17" s="1046"/>
      <c r="J17" s="171"/>
      <c r="K17" s="156"/>
    </row>
    <row r="18" spans="1:11" s="223" customFormat="1">
      <c r="A18" s="171"/>
      <c r="B18" s="171"/>
      <c r="C18" s="171"/>
      <c r="D18" s="227"/>
      <c r="E18" s="227"/>
      <c r="F18" s="171"/>
      <c r="G18" s="171"/>
      <c r="H18" s="171"/>
      <c r="I18" s="171"/>
      <c r="J18" s="171"/>
      <c r="K18" s="156"/>
    </row>
    <row r="19" spans="1:11" s="158" customFormat="1">
      <c r="E19" s="159"/>
      <c r="F19" s="1032"/>
      <c r="G19" s="1032"/>
      <c r="H19" s="1032"/>
      <c r="I19" s="1032"/>
      <c r="K19" s="156"/>
    </row>
    <row r="20" spans="1:11" s="158" customFormat="1" ht="21" thickBot="1">
      <c r="B20" s="12" t="s">
        <v>53</v>
      </c>
      <c r="D20" s="343" t="s">
        <v>234</v>
      </c>
      <c r="E20" s="343" t="s">
        <v>234</v>
      </c>
      <c r="K20" s="156"/>
    </row>
    <row r="21" spans="1:11" s="158" customFormat="1" ht="17">
      <c r="B21" s="6" t="s">
        <v>222</v>
      </c>
      <c r="C21" s="219"/>
      <c r="D21" s="342">
        <f>'Calculator '!D38</f>
        <v>0</v>
      </c>
      <c r="E21" s="342">
        <f>'Calculator '!E38</f>
        <v>0</v>
      </c>
      <c r="F21" s="1027" t="s">
        <v>33</v>
      </c>
      <c r="G21" s="1027"/>
      <c r="H21" s="1027"/>
      <c r="I21" s="1028"/>
      <c r="J21" s="159"/>
      <c r="K21" s="156"/>
    </row>
    <row r="22" spans="1:11" s="158" customFormat="1" ht="17">
      <c r="B22" s="8" t="s">
        <v>223</v>
      </c>
      <c r="C22" s="215"/>
      <c r="D22" s="13"/>
      <c r="E22" s="21">
        <f>'Calculator '!E43</f>
        <v>0</v>
      </c>
      <c r="F22" s="968"/>
      <c r="G22" s="968"/>
      <c r="H22" s="968"/>
      <c r="I22" s="969"/>
      <c r="J22" s="159"/>
      <c r="K22" s="156"/>
    </row>
    <row r="23" spans="1:11" s="158" customFormat="1" ht="17">
      <c r="B23" s="8" t="s">
        <v>224</v>
      </c>
      <c r="C23" s="215"/>
      <c r="D23" s="21">
        <f>'Calculator '!D49</f>
        <v>0</v>
      </c>
      <c r="E23" s="21">
        <f>'Calculator '!E49</f>
        <v>0</v>
      </c>
      <c r="F23" s="968"/>
      <c r="G23" s="968"/>
      <c r="H23" s="968"/>
      <c r="I23" s="969"/>
      <c r="J23" s="159"/>
      <c r="K23" s="156"/>
    </row>
    <row r="24" spans="1:11" s="158" customFormat="1" ht="17">
      <c r="B24" s="8" t="s">
        <v>225</v>
      </c>
      <c r="C24" s="215"/>
      <c r="D24" s="163">
        <f>'Calculator '!D52</f>
        <v>0</v>
      </c>
      <c r="E24" s="163">
        <f>'Calculator '!E52</f>
        <v>0</v>
      </c>
      <c r="F24" s="968"/>
      <c r="G24" s="968"/>
      <c r="H24" s="968"/>
      <c r="I24" s="969"/>
      <c r="J24" s="159"/>
      <c r="K24" s="156"/>
    </row>
    <row r="25" spans="1:11" s="158" customFormat="1" ht="17">
      <c r="B25" s="8" t="s">
        <v>226</v>
      </c>
      <c r="C25" s="215"/>
      <c r="D25" s="163">
        <f>'Calculator '!D54</f>
        <v>0</v>
      </c>
      <c r="E25" s="163">
        <f>'Calculator '!E54</f>
        <v>0</v>
      </c>
      <c r="F25" s="968"/>
      <c r="G25" s="968"/>
      <c r="H25" s="968"/>
      <c r="I25" s="969"/>
      <c r="J25" s="159"/>
      <c r="K25" s="156"/>
    </row>
    <row r="26" spans="1:11" s="158" customFormat="1" ht="17">
      <c r="B26" s="8" t="s">
        <v>227</v>
      </c>
      <c r="C26" s="215"/>
      <c r="D26" s="163">
        <f>'Calculator '!D56</f>
        <v>0</v>
      </c>
      <c r="E26" s="163">
        <f>'Calculator '!E56</f>
        <v>0</v>
      </c>
      <c r="F26" s="968"/>
      <c r="G26" s="968"/>
      <c r="H26" s="968"/>
      <c r="I26" s="969"/>
      <c r="J26" s="159"/>
      <c r="K26" s="156"/>
    </row>
    <row r="27" spans="1:11" s="158" customFormat="1" ht="17">
      <c r="B27" s="8" t="s">
        <v>228</v>
      </c>
      <c r="C27" s="215"/>
      <c r="D27" s="164">
        <f>'Calculator '!D60</f>
        <v>0</v>
      </c>
      <c r="E27" s="164">
        <f>'Calculator '!E60</f>
        <v>0</v>
      </c>
      <c r="F27" s="968"/>
      <c r="G27" s="968"/>
      <c r="H27" s="968"/>
      <c r="I27" s="969"/>
      <c r="J27" s="159"/>
      <c r="K27" s="156"/>
    </row>
    <row r="28" spans="1:11" s="158" customFormat="1" ht="17">
      <c r="B28" s="8" t="s">
        <v>229</v>
      </c>
      <c r="C28" s="215"/>
      <c r="D28" s="163">
        <f>'Calculator '!D61</f>
        <v>0</v>
      </c>
      <c r="E28" s="163">
        <f>'Calculator '!E61</f>
        <v>0</v>
      </c>
      <c r="F28" s="968"/>
      <c r="G28" s="968"/>
      <c r="H28" s="968"/>
      <c r="I28" s="969"/>
      <c r="J28" s="159"/>
      <c r="K28" s="156"/>
    </row>
    <row r="29" spans="1:11" s="158" customFormat="1" ht="17">
      <c r="B29" s="8" t="s">
        <v>231</v>
      </c>
      <c r="C29" s="215"/>
      <c r="D29" s="163">
        <f>'Calculator '!D65</f>
        <v>0</v>
      </c>
      <c r="E29" s="163">
        <f>'Calculator '!E65</f>
        <v>0</v>
      </c>
      <c r="F29" s="968"/>
      <c r="G29" s="968"/>
      <c r="H29" s="968"/>
      <c r="I29" s="969"/>
      <c r="J29" s="159"/>
      <c r="K29" s="156"/>
    </row>
    <row r="30" spans="1:11" s="158" customFormat="1" ht="17">
      <c r="B30" s="8" t="s">
        <v>230</v>
      </c>
      <c r="C30" s="215"/>
      <c r="D30" s="163">
        <f>'Calculator '!D67</f>
        <v>0</v>
      </c>
      <c r="E30" s="163">
        <f>'Calculator '!E67</f>
        <v>0</v>
      </c>
      <c r="F30" s="968"/>
      <c r="G30" s="968"/>
      <c r="H30" s="968"/>
      <c r="I30" s="969"/>
      <c r="J30" s="159"/>
      <c r="K30" s="156"/>
    </row>
    <row r="31" spans="1:11" s="158" customFormat="1" ht="18" thickBot="1">
      <c r="B31" s="10" t="s">
        <v>83</v>
      </c>
      <c r="C31" s="217"/>
      <c r="D31" s="283">
        <f>'Calculator '!D69</f>
        <v>0</v>
      </c>
      <c r="E31" s="26">
        <f>'Calculator '!E69</f>
        <v>0</v>
      </c>
      <c r="F31" s="970"/>
      <c r="G31" s="970"/>
      <c r="H31" s="970"/>
      <c r="I31" s="971"/>
      <c r="J31" s="159"/>
      <c r="K31" s="156"/>
    </row>
    <row r="32" spans="1:11" s="158" customFormat="1" ht="17" thickBot="1">
      <c r="F32" s="1032"/>
      <c r="G32" s="1032"/>
      <c r="H32" s="1032"/>
      <c r="I32" s="1032"/>
      <c r="K32" s="156"/>
    </row>
    <row r="33" spans="2:11" s="158" customFormat="1" ht="32.5" customHeight="1" thickBot="1">
      <c r="B33" s="1033" t="s">
        <v>84</v>
      </c>
      <c r="C33" s="1034"/>
      <c r="D33" s="1035" t="e">
        <f>D31/E31</f>
        <v>#DIV/0!</v>
      </c>
      <c r="E33" s="1036"/>
      <c r="F33" s="1037" t="e">
        <f>IF((D33&gt;1), "Cost of fuel fired system is higher than the cost with use of electrotechnology", "Cost of fuel fired system is less than the cost with use of electrotechnology")</f>
        <v>#DIV/0!</v>
      </c>
      <c r="G33" s="1037"/>
      <c r="H33" s="1037"/>
      <c r="I33" s="1038"/>
      <c r="J33" s="141"/>
      <c r="K33" s="156"/>
    </row>
    <row r="34" spans="2:11" s="341" customFormat="1" ht="32.5" customHeight="1" thickBot="1">
      <c r="B34" s="344"/>
      <c r="C34" s="344"/>
      <c r="D34" s="345"/>
      <c r="E34" s="345"/>
      <c r="F34" s="346"/>
      <c r="G34" s="346"/>
      <c r="H34" s="346"/>
      <c r="I34" s="346"/>
      <c r="J34" s="141"/>
      <c r="K34" s="156"/>
    </row>
    <row r="35" spans="2:11" s="341" customFormat="1" ht="18" thickBot="1">
      <c r="B35" s="347" t="s">
        <v>768</v>
      </c>
      <c r="C35" s="348"/>
      <c r="D35" s="349">
        <f>'Water use module'!D14</f>
        <v>0</v>
      </c>
      <c r="E35" s="349">
        <f>'Water use module'!E14</f>
        <v>0</v>
      </c>
      <c r="F35" s="1039" t="s">
        <v>769</v>
      </c>
      <c r="G35" s="1040"/>
      <c r="H35" s="1040"/>
      <c r="I35" s="1041"/>
      <c r="J35" s="141"/>
      <c r="K35" s="156"/>
    </row>
    <row r="36" spans="2:11" s="158" customFormat="1" ht="17" thickBot="1">
      <c r="K36" s="156"/>
    </row>
    <row r="37" spans="2:11" s="158" customFormat="1" ht="17" thickBot="1">
      <c r="B37" s="1029" t="s">
        <v>90</v>
      </c>
      <c r="C37" s="1030"/>
      <c r="D37" s="1030"/>
      <c r="E37" s="1030"/>
      <c r="F37" s="1030"/>
      <c r="G37" s="1030"/>
      <c r="H37" s="1030"/>
      <c r="I37" s="1031"/>
      <c r="K37" s="156"/>
    </row>
    <row r="38" spans="2:11" s="158" customFormat="1">
      <c r="K38" s="156"/>
    </row>
    <row r="39" spans="2:11" s="158" customFormat="1">
      <c r="K39" s="156"/>
    </row>
    <row r="40" spans="2:11" s="158" customFormat="1" ht="17">
      <c r="B40" s="158" t="s">
        <v>28</v>
      </c>
      <c r="K40" s="156"/>
    </row>
    <row r="41" spans="2:11" s="158" customFormat="1" ht="17">
      <c r="B41" s="4" t="s">
        <v>24</v>
      </c>
      <c r="C41" s="4" t="s">
        <v>64</v>
      </c>
      <c r="D41" s="4" t="s">
        <v>66</v>
      </c>
      <c r="K41" s="156"/>
    </row>
    <row r="42" spans="2:11" s="158" customFormat="1" ht="34">
      <c r="B42" s="4" t="s">
        <v>25</v>
      </c>
      <c r="C42" s="4" t="s">
        <v>65</v>
      </c>
      <c r="D42" s="4" t="s">
        <v>67</v>
      </c>
      <c r="K42" s="156"/>
    </row>
    <row r="43" spans="2:11" s="158" customFormat="1" ht="17">
      <c r="B43" s="4" t="s">
        <v>26</v>
      </c>
      <c r="C43" s="4"/>
      <c r="D43" s="4"/>
    </row>
    <row r="44" spans="2:11" s="158" customFormat="1" ht="17">
      <c r="B44" s="4" t="s">
        <v>27</v>
      </c>
      <c r="C44" s="4"/>
      <c r="D44" s="4"/>
    </row>
    <row r="45" spans="2:11" s="158" customFormat="1" ht="17">
      <c r="B45" s="4" t="s">
        <v>58</v>
      </c>
      <c r="C45" s="4"/>
      <c r="D45" s="4"/>
    </row>
    <row r="46" spans="2:11" s="158" customFormat="1"/>
    <row r="47" spans="2:11" s="158" customFormat="1" hidden="1"/>
    <row r="48" spans="2:11" s="158" customFormat="1" hidden="1"/>
    <row r="49" s="158" customFormat="1" hidden="1"/>
    <row r="66" spans="2:2" hidden="1">
      <c r="B66" t="s">
        <v>36</v>
      </c>
    </row>
  </sheetData>
  <mergeCells count="33">
    <mergeCell ref="B3:I3"/>
    <mergeCell ref="B4:I4"/>
    <mergeCell ref="F7:I7"/>
    <mergeCell ref="D8:E8"/>
    <mergeCell ref="F8:I8"/>
    <mergeCell ref="F30:I30"/>
    <mergeCell ref="F13:I13"/>
    <mergeCell ref="F19:I19"/>
    <mergeCell ref="D10:E10"/>
    <mergeCell ref="F10:I10"/>
    <mergeCell ref="D11:E11"/>
    <mergeCell ref="F11:I11"/>
    <mergeCell ref="F12:I12"/>
    <mergeCell ref="F15:I15"/>
    <mergeCell ref="F17:I17"/>
    <mergeCell ref="F25:I25"/>
    <mergeCell ref="F26:I26"/>
    <mergeCell ref="F27:I27"/>
    <mergeCell ref="F28:I28"/>
    <mergeCell ref="F29:I29"/>
    <mergeCell ref="B37:I37"/>
    <mergeCell ref="F31:I31"/>
    <mergeCell ref="F32:I32"/>
    <mergeCell ref="B33:C33"/>
    <mergeCell ref="D33:E33"/>
    <mergeCell ref="F33:I33"/>
    <mergeCell ref="F35:I35"/>
    <mergeCell ref="D9:E9"/>
    <mergeCell ref="F9:I9"/>
    <mergeCell ref="F22:I22"/>
    <mergeCell ref="F21:I21"/>
    <mergeCell ref="F24:I24"/>
    <mergeCell ref="F23:I23"/>
  </mergeCells>
  <dataValidations count="1">
    <dataValidation type="list" allowBlank="1" showInputMessage="1" showErrorMessage="1" sqref="D18:E18" xr:uid="{00000000-0002-0000-0200-000000000000}">
      <formula1>$B$41:$B$45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I14"/>
  <sheetViews>
    <sheetView workbookViewId="0">
      <selection activeCell="M20" sqref="M20"/>
    </sheetView>
  </sheetViews>
  <sheetFormatPr baseColWidth="10" defaultColWidth="8.83203125" defaultRowHeight="16"/>
  <cols>
    <col min="2" max="9" width="10.6640625" customWidth="1"/>
  </cols>
  <sheetData>
    <row r="2" spans="2:9" ht="17" thickBot="1"/>
    <row r="3" spans="2:9" ht="19">
      <c r="B3" s="1047" t="s">
        <v>85</v>
      </c>
      <c r="C3" s="1048"/>
      <c r="D3" s="1048"/>
      <c r="E3" s="1048"/>
      <c r="F3" s="1048"/>
      <c r="G3" s="1048"/>
      <c r="H3" s="1048"/>
      <c r="I3" s="1049"/>
    </row>
    <row r="4" spans="2:9" ht="20" thickBot="1">
      <c r="B4" s="1050" t="s">
        <v>86</v>
      </c>
      <c r="C4" s="1051"/>
      <c r="D4" s="1051"/>
      <c r="E4" s="1051"/>
      <c r="F4" s="1051"/>
      <c r="G4" s="1051"/>
      <c r="H4" s="1051"/>
      <c r="I4" s="1052"/>
    </row>
    <row r="7" spans="2:9" ht="24">
      <c r="B7" s="1062" t="s">
        <v>712</v>
      </c>
      <c r="C7" s="1062"/>
      <c r="D7" s="1062"/>
      <c r="E7" s="1062"/>
      <c r="F7" s="1062"/>
      <c r="G7" s="1062"/>
      <c r="H7" s="1062"/>
      <c r="I7" s="1062"/>
    </row>
    <row r="9" spans="2:9" s="284" customFormat="1" ht="30" customHeight="1" thickBot="1">
      <c r="B9" s="1063" t="s">
        <v>741</v>
      </c>
      <c r="C9" s="1063"/>
      <c r="D9" s="1063"/>
      <c r="E9" s="1063"/>
      <c r="F9" s="1063"/>
      <c r="G9" s="1063"/>
      <c r="H9" s="1063"/>
      <c r="I9" s="1063"/>
    </row>
    <row r="10" spans="2:9" s="284" customFormat="1" ht="30" customHeight="1">
      <c r="B10" s="1064" t="s">
        <v>742</v>
      </c>
      <c r="C10" s="1065"/>
      <c r="D10" s="1065"/>
      <c r="E10" s="1065"/>
      <c r="F10" s="1065"/>
      <c r="G10" s="1065"/>
      <c r="H10" s="1065"/>
      <c r="I10" s="1066"/>
    </row>
    <row r="11" spans="2:9" s="284" customFormat="1" ht="74.5" customHeight="1" thickBot="1">
      <c r="B11" s="1067"/>
      <c r="C11" s="1068"/>
      <c r="D11" s="1068"/>
      <c r="E11" s="1068"/>
      <c r="F11" s="1068"/>
      <c r="G11" s="1068"/>
      <c r="H11" s="1068"/>
      <c r="I11" s="1069"/>
    </row>
    <row r="12" spans="2:9" s="337" customFormat="1" ht="25.25" customHeight="1">
      <c r="B12" s="1058" t="s">
        <v>102</v>
      </c>
      <c r="C12" s="1058"/>
      <c r="D12" s="1058"/>
    </row>
    <row r="13" spans="2:9" s="337" customFormat="1" ht="25.25" customHeight="1">
      <c r="B13" s="1057" t="s">
        <v>251</v>
      </c>
      <c r="C13" s="1057"/>
      <c r="D13" s="1057"/>
    </row>
    <row r="14" spans="2:9" s="337" customFormat="1" ht="25.25" customHeight="1">
      <c r="B14" s="1059" t="s">
        <v>713</v>
      </c>
      <c r="C14" s="1060"/>
      <c r="D14" s="1061"/>
    </row>
  </sheetData>
  <mergeCells count="8">
    <mergeCell ref="B13:D13"/>
    <mergeCell ref="B12:D12"/>
    <mergeCell ref="B14:D14"/>
    <mergeCell ref="B3:I3"/>
    <mergeCell ref="B4:I4"/>
    <mergeCell ref="B7:I7"/>
    <mergeCell ref="B9:I9"/>
    <mergeCell ref="B10:I11"/>
  </mergeCells>
  <hyperlinks>
    <hyperlink ref="B12:D12" location="'Cost summary (SOLID)'!A1" display="Solid" xr:uid="{00000000-0004-0000-0300-000000000000}"/>
    <hyperlink ref="B13:D13" location="'Cost summary (LIQUID)'!A1" display="Liquid" xr:uid="{00000000-0004-0000-0300-000001000000}"/>
    <hyperlink ref="B14:D14" location="'Cost summary (GAS-VAPOR)'!A1" display="Gas/Vapor " xr:uid="{00000000-0004-0000-0300-000002000000}"/>
  </hyperlink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AD131"/>
  <sheetViews>
    <sheetView topLeftCell="A36" workbookViewId="0"/>
  </sheetViews>
  <sheetFormatPr baseColWidth="10" defaultColWidth="0" defaultRowHeight="16" zeroHeight="1"/>
  <cols>
    <col min="1" max="1" width="15.1640625" customWidth="1"/>
    <col min="2" max="2" width="44.5" customWidth="1"/>
    <col min="3" max="3" width="15.5" customWidth="1"/>
    <col min="4" max="5" width="15.6640625" customWidth="1"/>
    <col min="6" max="6" width="15.1640625" customWidth="1"/>
    <col min="7" max="9" width="9" customWidth="1"/>
    <col min="10" max="10" width="23.6640625" hidden="1" customWidth="1"/>
    <col min="11" max="13" width="9" customWidth="1"/>
    <col min="14" max="14" width="11.33203125" bestFit="1" customWidth="1"/>
    <col min="15" max="15" width="11.33203125" customWidth="1"/>
    <col min="16" max="17" width="9" hidden="1" customWidth="1"/>
    <col min="18" max="18" width="12.33203125" hidden="1" customWidth="1"/>
    <col min="19" max="19" width="9" hidden="1" customWidth="1"/>
    <col min="20" max="20" width="9.83203125" hidden="1" customWidth="1"/>
    <col min="21" max="24" width="9" hidden="1" customWidth="1"/>
    <col min="25" max="25" width="10.1640625" hidden="1" customWidth="1"/>
    <col min="26" max="16384" width="9" hidden="1"/>
  </cols>
  <sheetData>
    <row r="1" spans="1:25">
      <c r="A1" s="373"/>
      <c r="B1" s="373"/>
      <c r="C1" s="373"/>
      <c r="D1" s="373"/>
      <c r="E1" s="373"/>
      <c r="F1" s="373"/>
      <c r="G1" s="373"/>
      <c r="H1" s="373"/>
      <c r="I1" s="373"/>
      <c r="J1" s="373"/>
      <c r="K1" s="373"/>
      <c r="L1" s="381"/>
      <c r="M1" s="381"/>
      <c r="N1" s="381"/>
      <c r="O1" s="381"/>
      <c r="P1" s="381"/>
      <c r="Q1" s="298"/>
      <c r="R1" s="298"/>
      <c r="S1" s="298"/>
    </row>
    <row r="2" spans="1:25" ht="17" thickBot="1">
      <c r="A2" s="373"/>
      <c r="B2" s="373"/>
      <c r="C2" s="373"/>
      <c r="D2" s="373"/>
      <c r="E2" s="373"/>
      <c r="F2" s="373"/>
      <c r="G2" s="373"/>
      <c r="H2" s="373"/>
      <c r="I2" s="373"/>
      <c r="J2" s="373"/>
      <c r="K2" s="373"/>
      <c r="L2" s="381"/>
      <c r="M2" s="397"/>
      <c r="N2" s="381"/>
      <c r="O2" s="381"/>
      <c r="P2" s="381"/>
      <c r="Q2" s="298"/>
      <c r="R2" s="298"/>
      <c r="S2" s="298"/>
    </row>
    <row r="3" spans="1:25" ht="21">
      <c r="A3" s="373"/>
      <c r="B3" s="1089" t="s">
        <v>85</v>
      </c>
      <c r="C3" s="1090"/>
      <c r="D3" s="1090"/>
      <c r="E3" s="1090"/>
      <c r="F3" s="1090"/>
      <c r="G3" s="1090"/>
      <c r="H3" s="1090"/>
      <c r="I3" s="1091"/>
      <c r="J3" s="142"/>
      <c r="K3" s="377"/>
      <c r="L3" s="377"/>
      <c r="M3" s="381"/>
      <c r="N3" s="381"/>
      <c r="O3" s="381"/>
      <c r="P3" s="381"/>
      <c r="Q3" s="298"/>
      <c r="R3" s="298"/>
      <c r="S3" s="298"/>
    </row>
    <row r="4" spans="1:25" ht="22" thickBot="1">
      <c r="A4" s="373"/>
      <c r="B4" s="1092" t="s">
        <v>86</v>
      </c>
      <c r="C4" s="1093"/>
      <c r="D4" s="1093"/>
      <c r="E4" s="1093"/>
      <c r="F4" s="1093"/>
      <c r="G4" s="1093"/>
      <c r="H4" s="1093"/>
      <c r="I4" s="1094"/>
      <c r="J4" s="142"/>
      <c r="K4" s="377"/>
      <c r="L4" s="377"/>
      <c r="M4" s="381"/>
      <c r="N4" s="381"/>
      <c r="O4" s="381"/>
      <c r="P4" s="381"/>
      <c r="Q4" s="298"/>
      <c r="R4" s="298"/>
      <c r="S4" s="298"/>
    </row>
    <row r="5" spans="1:25" ht="10.5" customHeight="1">
      <c r="A5" s="373"/>
      <c r="B5" s="373"/>
      <c r="C5" s="373"/>
      <c r="D5" s="373"/>
      <c r="E5" s="373"/>
      <c r="F5" s="373"/>
      <c r="G5" s="373"/>
      <c r="H5" s="373"/>
      <c r="I5" s="373"/>
      <c r="J5" s="373"/>
      <c r="K5" s="373"/>
      <c r="L5" s="381"/>
      <c r="M5" s="381"/>
      <c r="N5" s="381"/>
      <c r="O5" s="381"/>
      <c r="P5" s="381"/>
      <c r="Q5" s="298"/>
      <c r="R5" s="298"/>
      <c r="S5" s="298"/>
    </row>
    <row r="6" spans="1:25" ht="19.5" customHeight="1" thickBot="1">
      <c r="A6" s="373"/>
      <c r="B6" s="1099" t="s">
        <v>797</v>
      </c>
      <c r="C6" s="1099"/>
      <c r="D6" s="1099"/>
      <c r="E6" s="1099"/>
      <c r="F6" s="1099"/>
      <c r="G6" s="1099"/>
      <c r="H6" s="1099"/>
      <c r="I6" s="1099"/>
      <c r="J6" s="373"/>
      <c r="K6" s="373"/>
      <c r="L6" s="381"/>
      <c r="M6" s="381"/>
      <c r="N6" s="381"/>
      <c r="O6" s="381"/>
      <c r="P6" s="381"/>
      <c r="Q6" s="298"/>
      <c r="R6" s="627" t="s">
        <v>820</v>
      </c>
      <c r="S6" s="298"/>
    </row>
    <row r="7" spans="1:25" ht="18.75" customHeight="1" thickBot="1">
      <c r="A7" s="373"/>
      <c r="B7" s="1099"/>
      <c r="C7" s="1099"/>
      <c r="D7" s="1099"/>
      <c r="E7" s="1099"/>
      <c r="F7" s="1099"/>
      <c r="G7" s="1099"/>
      <c r="H7" s="1099"/>
      <c r="I7" s="1099"/>
      <c r="J7" s="373"/>
      <c r="K7" s="373"/>
      <c r="L7" s="381"/>
      <c r="M7" s="381"/>
      <c r="N7" s="381"/>
      <c r="O7" s="381"/>
      <c r="P7" s="381"/>
      <c r="Q7" s="298"/>
      <c r="R7" s="6" t="s">
        <v>222</v>
      </c>
      <c r="S7" s="514" t="str">
        <f>IF(C19="tons/hr.","$/ton",IF(C19="lbs./hr.","$/lb.",IF(C19="liter/hr.","$/liter",IF(C19="kg./hr.","$/kg."))))</f>
        <v>$/ton</v>
      </c>
      <c r="T7" s="280">
        <f>IF($C$19="tons/hr.",'Cost summary'!D21*'Cost Report'!$T$57,IF($C$19="lbs./hr.",'Cost summary'!D21*'Cost Report'!$T$53,IF($C$19="kg./hr.",'Cost summary'!D21*'Cost Report'!$T$55)))</f>
        <v>0</v>
      </c>
      <c r="U7" s="280">
        <f>IF($C$19="tons/hr.",'Cost summary'!E21*'Cost Report'!$T$57,IF($C$19="lbs./hr.",'Cost summary'!E21*'Cost Report'!$T$53,IF($C$19="kg./hr.",'Cost summary'!E21*'Cost Report'!$T$55)))</f>
        <v>0</v>
      </c>
      <c r="V7" s="1027" t="s">
        <v>33</v>
      </c>
      <c r="W7" s="1027"/>
      <c r="X7" s="1027"/>
      <c r="Y7" s="1028"/>
    </row>
    <row r="8" spans="1:25" ht="25.5" customHeight="1" thickBot="1">
      <c r="A8" s="373"/>
      <c r="B8" s="1099"/>
      <c r="C8" s="1099"/>
      <c r="D8" s="1099"/>
      <c r="E8" s="1099"/>
      <c r="F8" s="1099"/>
      <c r="G8" s="1099"/>
      <c r="H8" s="1099"/>
      <c r="I8" s="1099"/>
      <c r="J8" s="373"/>
      <c r="K8" s="373"/>
      <c r="L8" s="381"/>
      <c r="M8" s="381"/>
      <c r="N8" s="381"/>
      <c r="O8" s="381"/>
      <c r="P8" s="381"/>
      <c r="Q8" s="298"/>
      <c r="R8" s="8" t="s">
        <v>223</v>
      </c>
      <c r="S8" s="513" t="str">
        <f>S7</f>
        <v>$/ton</v>
      </c>
      <c r="T8" s="636"/>
      <c r="U8" s="280">
        <f>IF($C$19="tons/hr.",'Cost summary'!E22*'Cost Report'!$T$57,IF($C$19="lbs./hr.",'Cost summary'!E22*'Cost Report'!$T$53,IF($C$19="kg./hr.",'Cost summary'!E22*'Cost Report'!$T$55)))</f>
        <v>0</v>
      </c>
      <c r="V8" s="968"/>
      <c r="W8" s="968"/>
      <c r="X8" s="968"/>
      <c r="Y8" s="969"/>
    </row>
    <row r="9" spans="1:25" s="223" customFormat="1" ht="33.75" customHeight="1" thickBot="1">
      <c r="A9" s="375"/>
      <c r="B9" s="640" t="s">
        <v>46</v>
      </c>
      <c r="C9" s="375"/>
      <c r="D9" s="375"/>
      <c r="E9" s="375"/>
      <c r="F9" s="375"/>
      <c r="G9" s="375"/>
      <c r="H9" s="375"/>
      <c r="I9" s="375"/>
      <c r="J9" s="375"/>
      <c r="K9" s="375"/>
      <c r="L9" s="388"/>
      <c r="M9" s="388"/>
      <c r="N9" s="388"/>
      <c r="O9" s="388"/>
      <c r="P9" s="388"/>
      <c r="Q9" s="338"/>
      <c r="R9" s="8" t="s">
        <v>224</v>
      </c>
      <c r="S9" s="641" t="str">
        <f t="shared" ref="S9:S17" si="0">S8</f>
        <v>$/ton</v>
      </c>
      <c r="T9" s="280">
        <f>IF($C$19="tons/hr.",'Cost summary'!D23*'Cost Report'!$T$57,IF($C$19="lbs./hr.",'Cost summary'!D23*'Cost Report'!$T$53,IF($C$19="kg./hr.",'Cost summary'!D23*'Cost Report'!$T$55)))</f>
        <v>0</v>
      </c>
      <c r="U9" s="280">
        <f>IF($C$19="tons/hr.",'Cost summary'!E23*'Cost Report'!$T$57,IF($C$19="lbs./hr.",'Cost summary'!E23*'Cost Report'!$T$53,IF($C$19="kg./hr.",'Cost summary'!E23*'Cost Report'!$T$55)))</f>
        <v>0</v>
      </c>
      <c r="V9" s="968"/>
      <c r="W9" s="968"/>
      <c r="X9" s="968"/>
      <c r="Y9" s="969"/>
    </row>
    <row r="10" spans="1:25" s="223" customFormat="1" ht="35" thickBot="1">
      <c r="A10" s="375"/>
      <c r="B10" s="814" t="s">
        <v>54</v>
      </c>
      <c r="C10" s="815"/>
      <c r="D10" s="572" t="s">
        <v>49</v>
      </c>
      <c r="E10" s="572" t="s">
        <v>50</v>
      </c>
      <c r="F10" s="1095" t="s">
        <v>91</v>
      </c>
      <c r="G10" s="1096"/>
      <c r="H10" s="1096"/>
      <c r="I10" s="1097"/>
      <c r="J10" s="171"/>
      <c r="K10" s="388"/>
      <c r="L10" s="388"/>
      <c r="M10" s="388"/>
      <c r="N10" s="388"/>
      <c r="O10" s="388"/>
      <c r="P10" s="388"/>
      <c r="Q10" s="338"/>
      <c r="R10" s="8" t="s">
        <v>225</v>
      </c>
      <c r="S10" s="641" t="str">
        <f t="shared" si="0"/>
        <v>$/ton</v>
      </c>
      <c r="T10" s="280">
        <f>IF($C$19="tons/hr.",'Cost summary'!D24*'Cost Report'!$T$57,IF($C$19="lbs./hr.",'Cost summary'!D24*'Cost Report'!$T$53,IF($C$19="kg./hr.",'Cost summary'!D24*'Cost Report'!$T$55)))</f>
        <v>0</v>
      </c>
      <c r="U10" s="280">
        <f>IF($C$19="tons/hr.",'Cost summary'!E24*'Cost Report'!$T$57,IF($C$19="lbs./hr.",'Cost summary'!E24*'Cost Report'!$T$53,IF($C$19="kg./hr.",'Cost summary'!E24*'Cost Report'!$T$55)))</f>
        <v>0</v>
      </c>
      <c r="V10" s="968"/>
      <c r="W10" s="968"/>
      <c r="X10" s="968"/>
      <c r="Y10" s="969"/>
    </row>
    <row r="11" spans="1:25" s="223" customFormat="1" ht="26" customHeight="1" thickBot="1">
      <c r="A11" s="375"/>
      <c r="B11" s="6" t="s">
        <v>0</v>
      </c>
      <c r="C11" s="220"/>
      <c r="D11" s="1098">
        <f>IFERROR('Calculator '!D8:E8,"")</f>
        <v>0</v>
      </c>
      <c r="E11" s="1098"/>
      <c r="F11" s="1027" t="s">
        <v>3</v>
      </c>
      <c r="G11" s="1027"/>
      <c r="H11" s="1027"/>
      <c r="I11" s="1028"/>
      <c r="J11" s="171"/>
      <c r="K11" s="388"/>
      <c r="L11" s="388"/>
      <c r="M11" s="388"/>
      <c r="N11" s="388"/>
      <c r="O11" s="388"/>
      <c r="P11" s="388"/>
      <c r="Q11" s="338"/>
      <c r="R11" s="8" t="s">
        <v>226</v>
      </c>
      <c r="S11" s="641" t="str">
        <f t="shared" si="0"/>
        <v>$/ton</v>
      </c>
      <c r="T11" s="280">
        <f>IF($C$19="tons/hr.",'Cost summary'!D25*'Cost Report'!$T$57,IF($C$19="lbs./hr.",'Cost summary'!D25*'Cost Report'!$T$53,IF($C$19="kg./hr.",'Cost summary'!D25*'Cost Report'!$T$55)))</f>
        <v>0</v>
      </c>
      <c r="U11" s="280">
        <f>IF($C$19="tons/hr.",'Cost summary'!E25*'Cost Report'!$T$57,IF($C$19="lbs./hr.",'Cost summary'!E25*'Cost Report'!$T$53,IF($C$19="kg./hr.",'Cost summary'!E25*'Cost Report'!$T$55)))</f>
        <v>0</v>
      </c>
      <c r="V11" s="968"/>
      <c r="W11" s="968"/>
      <c r="X11" s="968"/>
      <c r="Y11" s="969"/>
    </row>
    <row r="12" spans="1:25" s="223" customFormat="1" ht="29" customHeight="1" thickBot="1">
      <c r="A12" s="375"/>
      <c r="B12" s="8" t="s">
        <v>1</v>
      </c>
      <c r="C12" s="221"/>
      <c r="D12" s="1088">
        <f>'Calculator '!D9:E9</f>
        <v>0</v>
      </c>
      <c r="E12" s="1088"/>
      <c r="F12" s="968" t="s">
        <v>4</v>
      </c>
      <c r="G12" s="968"/>
      <c r="H12" s="968"/>
      <c r="I12" s="969"/>
      <c r="J12" s="171"/>
      <c r="K12" s="388"/>
      <c r="L12" s="388"/>
      <c r="M12" s="388"/>
      <c r="N12" s="388"/>
      <c r="O12" s="388"/>
      <c r="P12" s="388"/>
      <c r="Q12" s="338"/>
      <c r="R12" s="8" t="s">
        <v>227</v>
      </c>
      <c r="S12" s="641" t="str">
        <f t="shared" si="0"/>
        <v>$/ton</v>
      </c>
      <c r="T12" s="280">
        <f>IF($C$19="tons/hr.",'Cost summary'!D26*'Cost Report'!$T$57,IF($C$19="lbs./hr.",'Cost summary'!D26*'Cost Report'!$T$53,IF($C$19="kg./hr.",'Cost summary'!D26*'Cost Report'!$T$55)))</f>
        <v>0</v>
      </c>
      <c r="U12" s="280">
        <f>IF($C$19="tons/hr.",'Cost summary'!E26*'Cost Report'!$T$57,IF($C$19="lbs./hr.",'Cost summary'!E26*'Cost Report'!$T$53,IF($C$19="kg./hr.",'Cost summary'!E26*'Cost Report'!$T$55)))</f>
        <v>0</v>
      </c>
      <c r="V12" s="968"/>
      <c r="W12" s="968"/>
      <c r="X12" s="968"/>
      <c r="Y12" s="969"/>
    </row>
    <row r="13" spans="1:25" s="223" customFormat="1" ht="18" thickBot="1">
      <c r="A13" s="375"/>
      <c r="B13" s="8" t="s">
        <v>10</v>
      </c>
      <c r="C13" s="221"/>
      <c r="D13" s="1088" t="str">
        <f>'Calculator '!D10</f>
        <v>Solid</v>
      </c>
      <c r="E13" s="1088"/>
      <c r="F13" s="968"/>
      <c r="G13" s="968"/>
      <c r="H13" s="968"/>
      <c r="I13" s="969"/>
      <c r="J13" s="171"/>
      <c r="K13" s="388"/>
      <c r="L13" s="388"/>
      <c r="M13" s="388"/>
      <c r="N13" s="388"/>
      <c r="O13" s="388"/>
      <c r="P13" s="388"/>
      <c r="Q13" s="338"/>
      <c r="R13" s="8" t="s">
        <v>228</v>
      </c>
      <c r="S13" s="641" t="str">
        <f t="shared" si="0"/>
        <v>$/ton</v>
      </c>
      <c r="T13" s="280">
        <f>IF($C$19="tons/hr.",'Cost summary'!D27*'Cost Report'!$T$57,IF($C$19="lbs./hr.",'Cost summary'!D27*'Cost Report'!$T$53,IF($C$19="kg./hr.",'Cost summary'!D27*'Cost Report'!$T$55)))</f>
        <v>0</v>
      </c>
      <c r="U13" s="280">
        <f>IF($C$19="tons/hr.",'Cost summary'!E27*'Cost Report'!$T$57,IF($C$19="lbs./hr.",'Cost summary'!E27*'Cost Report'!$T$53,IF($C$19="kg./hr.",'Cost summary'!E27*'Cost Report'!$T$55)))</f>
        <v>0</v>
      </c>
      <c r="V13" s="968"/>
      <c r="W13" s="968"/>
      <c r="X13" s="968"/>
      <c r="Y13" s="969"/>
    </row>
    <row r="14" spans="1:25" s="223" customFormat="1" ht="35" thickBot="1">
      <c r="A14" s="375"/>
      <c r="B14" s="8" t="s">
        <v>279</v>
      </c>
      <c r="C14" s="221"/>
      <c r="D14" s="1088">
        <f>'Calculator '!D11</f>
        <v>0</v>
      </c>
      <c r="E14" s="1088"/>
      <c r="F14" s="968"/>
      <c r="G14" s="968"/>
      <c r="H14" s="968"/>
      <c r="I14" s="969"/>
      <c r="J14" s="171"/>
      <c r="K14" s="388"/>
      <c r="L14" s="388"/>
      <c r="M14" s="388"/>
      <c r="N14" s="388"/>
      <c r="O14" s="388"/>
      <c r="P14" s="388"/>
      <c r="Q14" s="338"/>
      <c r="R14" s="8" t="s">
        <v>229</v>
      </c>
      <c r="S14" s="641" t="str">
        <f t="shared" si="0"/>
        <v>$/ton</v>
      </c>
      <c r="T14" s="280">
        <f>IF($C$19="tons/hr.",'Cost summary'!D28*'Cost Report'!$T$57,IF($C$19="lbs./hr.",'Cost summary'!D28*'Cost Report'!$T$53,IF($C$19="kg./hr.",'Cost summary'!D28*'Cost Report'!$T$55)))</f>
        <v>0</v>
      </c>
      <c r="U14" s="280">
        <f>IF($C$19="tons/hr.",'Cost summary'!E28*'Cost Report'!$T$57,IF($C$19="lbs./hr.",'Cost summary'!E28*'Cost Report'!$T$53,IF($C$19="kg./hr.",'Cost summary'!E28*'Cost Report'!$T$55)))</f>
        <v>0</v>
      </c>
      <c r="V14" s="968"/>
      <c r="W14" s="968"/>
      <c r="X14" s="968"/>
      <c r="Y14" s="969"/>
    </row>
    <row r="15" spans="1:25" s="223" customFormat="1" ht="24" customHeight="1" thickBot="1">
      <c r="A15" s="375"/>
      <c r="B15" s="8" t="s">
        <v>11</v>
      </c>
      <c r="C15" s="221" t="s">
        <v>12</v>
      </c>
      <c r="D15" s="660">
        <f>'Calculator '!D12</f>
        <v>0</v>
      </c>
      <c r="E15" s="660">
        <f>'Calculator '!E12</f>
        <v>0</v>
      </c>
      <c r="F15" s="968"/>
      <c r="G15" s="968"/>
      <c r="H15" s="968"/>
      <c r="I15" s="969"/>
      <c r="J15" s="171"/>
      <c r="K15" s="388"/>
      <c r="L15" s="388"/>
      <c r="M15" s="388"/>
      <c r="N15" s="388"/>
      <c r="O15" s="388"/>
      <c r="P15" s="388"/>
      <c r="Q15" s="338"/>
      <c r="R15" s="8" t="s">
        <v>231</v>
      </c>
      <c r="S15" s="641" t="str">
        <f t="shared" si="0"/>
        <v>$/ton</v>
      </c>
      <c r="T15" s="280">
        <f>IF($C$19="tons/hr.",'Cost summary'!D29*'Cost Report'!$T$57,IF($C$19="lbs./hr.",'Cost summary'!D29*'Cost Report'!$T$53,IF($C$19="kg./hr.",'Cost summary'!D29*'Cost Report'!$T$55)))</f>
        <v>0</v>
      </c>
      <c r="U15" s="280">
        <f>IF($C$19="tons/hr.",'Cost summary'!E29*'Cost Report'!$T$57,IF($C$19="lbs./hr.",'Cost summary'!E29*'Cost Report'!$T$53,IF($C$19="kg./hr.",'Cost summary'!E29*'Cost Report'!$T$55)))</f>
        <v>0</v>
      </c>
      <c r="V15" s="968"/>
      <c r="W15" s="968"/>
      <c r="X15" s="968"/>
      <c r="Y15" s="969"/>
    </row>
    <row r="16" spans="1:25" s="223" customFormat="1" ht="20.25" customHeight="1" thickBot="1">
      <c r="A16" s="375"/>
      <c r="B16" s="209" t="s">
        <v>13</v>
      </c>
      <c r="C16" s="165" t="s">
        <v>12</v>
      </c>
      <c r="D16" s="661">
        <f>'Calculator '!D13</f>
        <v>0</v>
      </c>
      <c r="E16" s="661">
        <f>'Calculator '!E13</f>
        <v>0</v>
      </c>
      <c r="F16" s="1084"/>
      <c r="G16" s="1084"/>
      <c r="H16" s="1084"/>
      <c r="I16" s="1085"/>
      <c r="J16" s="171"/>
      <c r="K16" s="388"/>
      <c r="L16" s="388"/>
      <c r="M16" s="388"/>
      <c r="N16" s="388"/>
      <c r="O16" s="388"/>
      <c r="P16" s="388"/>
      <c r="Q16" s="338"/>
      <c r="R16" s="8" t="s">
        <v>230</v>
      </c>
      <c r="S16" s="641" t="str">
        <f t="shared" si="0"/>
        <v>$/ton</v>
      </c>
      <c r="T16" s="280">
        <f>IF($C$19="tons/hr.",'Cost summary'!D30*'Cost Report'!$T$57,IF($C$19="lbs./hr.",'Cost summary'!D30*'Cost Report'!$T$53,IF($C$19="kg./hr.",'Cost summary'!D30*'Cost Report'!$T$55)))</f>
        <v>0</v>
      </c>
      <c r="U16" s="280">
        <f>IF($C$19="tons/hr.",'Cost summary'!E30*'Cost Report'!$T$57,IF($C$19="lbs./hr.",'Cost summary'!E30*'Cost Report'!$T$53,IF($C$19="kg./hr.",'Cost summary'!E30*'Cost Report'!$T$55)))</f>
        <v>0</v>
      </c>
      <c r="V16" s="968"/>
      <c r="W16" s="968"/>
      <c r="X16" s="968"/>
      <c r="Y16" s="969"/>
    </row>
    <row r="17" spans="1:26" s="223" customFormat="1" ht="15.5" customHeight="1" thickBot="1">
      <c r="A17" s="375"/>
      <c r="B17" s="407"/>
      <c r="C17" s="407"/>
      <c r="D17" s="634"/>
      <c r="E17" s="634"/>
      <c r="F17" s="407"/>
      <c r="G17" s="407"/>
      <c r="H17" s="407"/>
      <c r="I17" s="407"/>
      <c r="J17" s="171"/>
      <c r="K17" s="388"/>
      <c r="L17" s="388"/>
      <c r="M17" s="388"/>
      <c r="N17" s="388"/>
      <c r="O17" s="388"/>
      <c r="P17" s="388"/>
      <c r="Q17" s="338"/>
      <c r="R17" s="10" t="s">
        <v>83</v>
      </c>
      <c r="S17" s="641" t="str">
        <f t="shared" si="0"/>
        <v>$/ton</v>
      </c>
      <c r="T17" s="280">
        <f>IF($C$19="tons/hr.",'Cost summary'!D31*'Cost Report'!$T$57,IF($C$19="lbs./hr.",'Cost summary'!D31*'Cost Report'!$T$53,IF($C$19="kg./hr.",'Cost summary'!D31*'Cost Report'!$T$55)))</f>
        <v>0</v>
      </c>
      <c r="U17" s="280">
        <f>IF($C$19="tons/hr.",'Cost summary'!E31*'Cost Report'!$T$57,IF($C$19="lbs./hr.",'Cost summary'!E31*'Cost Report'!$T$53,IF($C$19="kg./hr.",'Cost summary'!E31*'Cost Report'!$T$55)))</f>
        <v>0</v>
      </c>
      <c r="V17" s="970"/>
      <c r="W17" s="970"/>
      <c r="X17" s="970"/>
      <c r="Y17" s="971"/>
    </row>
    <row r="18" spans="1:26" s="223" customFormat="1" ht="26.25" customHeight="1" thickBot="1">
      <c r="A18" s="375"/>
      <c r="B18" s="224" t="s">
        <v>29</v>
      </c>
      <c r="C18" s="226" t="s">
        <v>233</v>
      </c>
      <c r="D18" s="662">
        <f>'Calculator '!D17</f>
        <v>0</v>
      </c>
      <c r="E18" s="662">
        <f>'Calculator '!E17</f>
        <v>0</v>
      </c>
      <c r="F18" s="1042" t="s">
        <v>36</v>
      </c>
      <c r="G18" s="1042"/>
      <c r="H18" s="1042"/>
      <c r="I18" s="1043"/>
      <c r="J18" s="171"/>
      <c r="K18" s="388"/>
      <c r="L18" s="388"/>
      <c r="M18" s="388"/>
      <c r="N18" s="388"/>
      <c r="O18" s="388"/>
      <c r="P18" s="388"/>
      <c r="Q18" s="338"/>
      <c r="R18" s="338"/>
      <c r="S18" s="338"/>
    </row>
    <row r="19" spans="1:26" s="223" customFormat="1" ht="23" customHeight="1" thickBot="1">
      <c r="A19" s="388"/>
      <c r="B19" s="271" t="s">
        <v>700</v>
      </c>
      <c r="C19" s="272" t="str">
        <f>'Calculator '!C18</f>
        <v>tons/hr.</v>
      </c>
      <c r="D19" s="662">
        <f>'Calculator '!D18</f>
        <v>0</v>
      </c>
      <c r="E19" s="662">
        <f>'Calculator '!E18</f>
        <v>0</v>
      </c>
      <c r="F19" s="394"/>
      <c r="G19" s="395"/>
      <c r="H19" s="395"/>
      <c r="I19" s="396"/>
      <c r="J19" s="171"/>
      <c r="K19" s="388"/>
      <c r="L19" s="388"/>
      <c r="M19" s="388"/>
      <c r="N19" s="388"/>
      <c r="O19" s="388"/>
      <c r="P19" s="388"/>
      <c r="Q19" s="338"/>
      <c r="R19" s="338"/>
      <c r="S19" s="338"/>
    </row>
    <row r="20" spans="1:26" s="223" customFormat="1" ht="23" customHeight="1" thickBot="1">
      <c r="A20" s="388"/>
      <c r="B20" s="10" t="s">
        <v>716</v>
      </c>
      <c r="C20" s="222" t="s">
        <v>114</v>
      </c>
      <c r="D20" s="662">
        <f>'Calculator '!D19</f>
        <v>0</v>
      </c>
      <c r="E20" s="662">
        <f>'Calculator '!E19</f>
        <v>0</v>
      </c>
      <c r="F20" s="1044" t="s">
        <v>36</v>
      </c>
      <c r="G20" s="1045"/>
      <c r="H20" s="1045"/>
      <c r="I20" s="1046"/>
      <c r="J20" t="s">
        <v>36</v>
      </c>
      <c r="K20" s="373"/>
      <c r="L20" s="381"/>
      <c r="M20" s="388"/>
      <c r="N20" s="388"/>
      <c r="O20" s="388"/>
      <c r="P20" s="388"/>
      <c r="Q20" s="338"/>
      <c r="R20" s="338"/>
      <c r="S20" s="338"/>
    </row>
    <row r="21" spans="1:26" s="223" customFormat="1" ht="26" thickBot="1">
      <c r="A21" s="388"/>
      <c r="B21" s="388"/>
      <c r="C21" s="388"/>
      <c r="D21" s="391"/>
      <c r="E21" s="391"/>
      <c r="F21" s="388"/>
      <c r="G21" s="388"/>
      <c r="H21" s="388"/>
      <c r="I21" s="388"/>
      <c r="J21" s="373" t="s">
        <v>114</v>
      </c>
      <c r="K21" s="373"/>
      <c r="L21" s="381"/>
      <c r="M21" s="388"/>
      <c r="N21" s="388"/>
      <c r="O21" s="388"/>
      <c r="P21" s="388"/>
      <c r="Q21" s="338"/>
      <c r="R21" s="625" t="s">
        <v>821</v>
      </c>
      <c r="S21" s="338"/>
      <c r="W21" s="626" t="s">
        <v>161</v>
      </c>
    </row>
    <row r="22" spans="1:26" s="223" customFormat="1" ht="29.25" customHeight="1" thickBot="1">
      <c r="A22" s="375"/>
      <c r="B22" s="339" t="s">
        <v>10</v>
      </c>
      <c r="C22" s="340" t="str">
        <f>D13</f>
        <v>Solid</v>
      </c>
      <c r="D22" s="391"/>
      <c r="E22" s="948"/>
      <c r="F22" s="948"/>
      <c r="G22" s="948"/>
      <c r="H22" s="948"/>
      <c r="I22" s="948"/>
      <c r="J22" s="373" t="s">
        <v>697</v>
      </c>
      <c r="K22" s="373"/>
      <c r="L22" s="381"/>
      <c r="M22" s="388"/>
      <c r="N22" s="388"/>
      <c r="O22" s="388"/>
      <c r="P22" s="388"/>
      <c r="Q22" s="338"/>
      <c r="R22" s="6" t="s">
        <v>222</v>
      </c>
      <c r="S22" s="621" t="b">
        <f>IF(C19="gpm","$/gallon",IF(C19="lbs./hr.","$/lb.",IF(C19="liter/hr.","$/liter",IF(C19="kg./hr.","$/kg."))))</f>
        <v>0</v>
      </c>
      <c r="T22" s="280" t="b">
        <f>IF($C$19="gpm",'Cost summary'!D21*$T$54,IF($C$19="lbs./hr.",'Cost summary'!D21*$T$53,IF($C$19="liter/hr.",'Cost summary'!D21*$T$56,IF($C$19="kg./hr.",'Cost summary'!D21*$T$55))))</f>
        <v>0</v>
      </c>
      <c r="U22" s="630" t="b">
        <f>IF($C$19="gpm",'Cost summary'!E21*$T$54,IF($C$19="lbs./hr.",'Cost summary'!E21*$T$53,IF($C$19="liter/hr.",'Cost summary'!E21*$T$56,IF($C$19="kg./hr.",'Cost summary'!E21*$T$55))))</f>
        <v>0</v>
      </c>
      <c r="W22" s="6" t="s">
        <v>222</v>
      </c>
      <c r="X22" s="514" t="b">
        <f>IF(C19="scfm","$/scfm",IF(C19="lbs./hr.","$/lb.",IF(C19="m^3/hr.","$/m^3",IF(C19="kg./hr.","$/kg."))))</f>
        <v>0</v>
      </c>
      <c r="Y22" s="280" t="b">
        <f>IF($C$16="scfm",'Cost summary'!D21*$Y$58,IF($C$16="lbs./hr.",'Cost summary'!D21*$Y$53,IF($C$16="m^3/hr.",'Cost summary'!D21*$Y$59,IF($C$16="kg./hr.",'Cost summary'!D21*$Y$55))))</f>
        <v>0</v>
      </c>
      <c r="Z22" s="280" t="b">
        <f>IF($C$16="scfm",'Cost summary'!E21*$Y$58,IF($C$16="lbs./hr.",'Cost summary'!E21*$Y$53,IF($C$16="m^3/hr.",'Cost summary'!E21*$Y$59,IF($C$16="kg./hr.",'Cost summary'!E21*$Y$55))))</f>
        <v>0</v>
      </c>
    </row>
    <row r="23" spans="1:26" s="223" customFormat="1" ht="35.25" customHeight="1" thickBot="1">
      <c r="A23" s="375"/>
      <c r="B23" s="388"/>
      <c r="C23" s="388"/>
      <c r="D23" s="391"/>
      <c r="E23" s="392"/>
      <c r="F23" s="388"/>
      <c r="G23" s="388"/>
      <c r="H23" s="388"/>
      <c r="I23" s="388"/>
      <c r="J23" s="373" t="s">
        <v>696</v>
      </c>
      <c r="K23" s="373"/>
      <c r="L23" s="381"/>
      <c r="M23" s="388"/>
      <c r="N23" s="388"/>
      <c r="O23" s="388"/>
      <c r="P23" s="388"/>
      <c r="Q23" s="338"/>
      <c r="R23" s="8" t="s">
        <v>223</v>
      </c>
      <c r="S23" s="619" t="b">
        <f>S22</f>
        <v>0</v>
      </c>
      <c r="T23" s="636"/>
      <c r="U23" s="630" t="b">
        <f>IF($C$19="gpm",'Cost summary'!E22*$T$54,IF($C$19="lbs./hr.",'Cost summary'!E22*$T$53,IF($C$19="liter/hr.",'Cost summary'!E22*$T$56,IF($C$19="kg./hr.",'Cost summary'!E22*$T$55))))</f>
        <v>0</v>
      </c>
      <c r="W23" s="8" t="s">
        <v>223</v>
      </c>
      <c r="X23" s="513" t="b">
        <f>X22</f>
        <v>0</v>
      </c>
      <c r="Y23" s="636"/>
      <c r="Z23" s="280" t="b">
        <f>IF($C$16="scfm",'Cost summary'!E22*$Y$58,IF($C$16="lbs./hr.",'Cost summary'!E22*$Y$53,IF($C$16="m^3/hr.",'Cost summary'!E22*$Y$59,IF($C$16="kg./hr.",'Cost summary'!E22*$Y$55))))</f>
        <v>0</v>
      </c>
    </row>
    <row r="24" spans="1:26" s="223" customFormat="1" ht="24.75" customHeight="1" thickBot="1">
      <c r="A24" s="375"/>
      <c r="B24" s="388"/>
      <c r="C24" s="388"/>
      <c r="D24" s="391"/>
      <c r="E24" s="392"/>
      <c r="F24" s="388"/>
      <c r="G24" s="388"/>
      <c r="H24" s="388"/>
      <c r="I24" s="388"/>
      <c r="J24" s="375"/>
      <c r="K24" s="375"/>
      <c r="L24" s="388"/>
      <c r="M24" s="388"/>
      <c r="N24" s="388"/>
      <c r="O24" s="388"/>
      <c r="P24" s="388"/>
      <c r="Q24" s="338"/>
      <c r="R24" s="8" t="s">
        <v>224</v>
      </c>
      <c r="S24" s="619" t="b">
        <f>S23</f>
        <v>0</v>
      </c>
      <c r="T24" s="280" t="b">
        <f>IF($C$19="gpm",'Cost summary'!D23*$T$54,IF($C$19="lbs./hr.",'Cost summary'!D23*$T$53,IF($C$19="liter/hr.",'Cost summary'!D23*$T$56,IF($C$19="kg./hr.",'Cost summary'!D23*$T$55))))</f>
        <v>0</v>
      </c>
      <c r="U24" s="630" t="b">
        <f>IF($C$19="gpm",'Cost summary'!E23*$T$54,IF($C$19="lbs./hr.",'Cost summary'!E23*$T$53,IF($C$19="liter/hr.",'Cost summary'!E23*$T$56,IF($C$19="kg./hr.",'Cost summary'!E23*$T$55))))</f>
        <v>0</v>
      </c>
      <c r="W24" s="8" t="s">
        <v>224</v>
      </c>
      <c r="X24" s="513" t="b">
        <f>X23</f>
        <v>0</v>
      </c>
      <c r="Y24" s="280" t="b">
        <f>IF($C$16="scfm",'Cost summary'!D23*$Y$58,IF($C$16="lbs./hr.",'Cost summary'!D23*$Y$53,IF($C$16="m^3/hr.",'Cost summary'!D23*$Y$59,IF($C$16="kg./hr.",'Cost summary'!D23*$Y$55))))</f>
        <v>0</v>
      </c>
      <c r="Z24" s="280" t="b">
        <f>IF($C$16="scfm",'Cost summary'!E23*$Y$58,IF($C$16="lbs./hr.",'Cost summary'!E23*$Y$53,IF($C$16="m^3/hr.",'Cost summary'!E23*$Y$59,IF($C$16="kg./hr.",'Cost summary'!E23*$Y$55))))</f>
        <v>0</v>
      </c>
    </row>
    <row r="25" spans="1:26" s="223" customFormat="1" ht="35.25" customHeight="1" thickBot="1">
      <c r="A25" s="375"/>
      <c r="B25" s="1100" t="s">
        <v>53</v>
      </c>
      <c r="C25" s="1100"/>
      <c r="D25" s="1100"/>
      <c r="E25" s="1100"/>
      <c r="F25" s="1100"/>
      <c r="G25" s="1100"/>
      <c r="H25" s="1100"/>
      <c r="I25" s="1100"/>
      <c r="J25" s="375"/>
      <c r="K25" s="375"/>
      <c r="L25" s="388"/>
      <c r="M25" s="388"/>
      <c r="N25" s="388"/>
      <c r="O25" s="388"/>
      <c r="P25" s="388"/>
      <c r="Q25" s="338"/>
      <c r="R25" s="8" t="s">
        <v>225</v>
      </c>
      <c r="S25" s="619" t="b">
        <f t="shared" ref="S25:S32" si="1">S24</f>
        <v>0</v>
      </c>
      <c r="T25" s="280" t="b">
        <f>IF($C$19="gpm",'Cost summary'!D24*$T$54,IF($C$19="lbs./hr.",'Cost summary'!D24*$T$53,IF($C$19="liter/hr.",'Cost summary'!D24*$T$56,IF($C$19="kg./hr.",'Cost summary'!D24*$T$55))))</f>
        <v>0</v>
      </c>
      <c r="U25" s="630" t="b">
        <f>IF($C$19="gpm",'Cost summary'!E24*$T$54,IF($C$19="lbs./hr.",'Cost summary'!E24*$T$53,IF($C$19="liter/hr.",'Cost summary'!E24*$T$56,IF($C$19="kg./hr.",'Cost summary'!E24*$T$55))))</f>
        <v>0</v>
      </c>
      <c r="W25" s="8" t="s">
        <v>225</v>
      </c>
      <c r="X25" s="513" t="b">
        <f t="shared" ref="X25:X32" si="2">X24</f>
        <v>0</v>
      </c>
      <c r="Y25" s="280" t="b">
        <f>IF($C$16="scfm",'Cost summary'!D24*$Y$58,IF($C$16="lbs./hr.",'Cost summary'!D24*$Y$53,IF($C$16="m^3/hr.",'Cost summary'!D24*$Y$59,IF($C$16="kg./hr.",'Cost summary'!D24*$Y$55))))</f>
        <v>0</v>
      </c>
      <c r="Z25" s="280" t="b">
        <f>IF($C$16="scfm",'Cost summary'!E24*$Y$58,IF($C$16="lbs./hr.",'Cost summary'!E24*$Y$53,IF($C$16="m^3/hr.",'Cost summary'!E24*$Y$59,IF($C$16="kg./hr.",'Cost summary'!E24*$Y$55))))</f>
        <v>0</v>
      </c>
    </row>
    <row r="26" spans="1:26" s="223" customFormat="1" ht="29.25" customHeight="1" thickBot="1">
      <c r="A26" s="375"/>
      <c r="B26" s="622" t="s">
        <v>222</v>
      </c>
      <c r="C26" s="642" t="str">
        <f>IFERROR(IF($C$22="Solid",S7,IF($C$22="Liquid",S22,X22)),"")</f>
        <v>$/ton</v>
      </c>
      <c r="D26" s="669">
        <f>IFERROR(IF($C$22="Solid",T7,IF($C$22="Liquid",T22,Y22)),"")</f>
        <v>0</v>
      </c>
      <c r="E26" s="669">
        <f>IFERROR(IF($C$22="Solid",U7,IF($C$22="Liquid",U22,Z22)),"")</f>
        <v>0</v>
      </c>
      <c r="F26" s="1027" t="s">
        <v>33</v>
      </c>
      <c r="G26" s="1027"/>
      <c r="H26" s="1027"/>
      <c r="I26" s="1028"/>
      <c r="J26" s="171"/>
      <c r="K26" s="388"/>
      <c r="L26" s="388"/>
      <c r="M26" s="388"/>
      <c r="N26" s="388"/>
      <c r="O26" s="388"/>
      <c r="P26" s="388"/>
      <c r="Q26" s="338"/>
      <c r="R26" s="8" t="s">
        <v>226</v>
      </c>
      <c r="S26" s="619" t="b">
        <f t="shared" si="1"/>
        <v>0</v>
      </c>
      <c r="T26" s="280" t="b">
        <f>IF($C$19="gpm",'Cost summary'!D25*$T$54,IF($C$19="lbs./hr.",'Cost summary'!D25*$T$53,IF($C$19="liter/hr.",'Cost summary'!D25*$T$56,IF($C$19="kg./hr.",'Cost summary'!D25*$T$55))))</f>
        <v>0</v>
      </c>
      <c r="U26" s="630" t="b">
        <f>IF($C$19="gpm",'Cost summary'!E25*$T$54,IF($C$19="lbs./hr.",'Cost summary'!E25*$T$53,IF($C$19="liter/hr.",'Cost summary'!E25*$T$56,IF($C$19="kg./hr.",'Cost summary'!E25*$T$55))))</f>
        <v>0</v>
      </c>
      <c r="W26" s="8" t="s">
        <v>226</v>
      </c>
      <c r="X26" s="513" t="b">
        <f t="shared" si="2"/>
        <v>0</v>
      </c>
      <c r="Y26" s="280" t="b">
        <f>IF($C$16="scfm",'Cost summary'!D25*$Y$58,IF($C$16="lbs./hr.",'Cost summary'!D25*$Y$53,IF($C$16="m^3/hr.",'Cost summary'!D25*$Y$59,IF($C$16="kg./hr.",'Cost summary'!D25*$Y$55))))</f>
        <v>0</v>
      </c>
      <c r="Z26" s="280" t="b">
        <f>IF($C$16="scfm",'Cost summary'!E25*$Y$58,IF($C$16="lbs./hr.",'Cost summary'!E25*$Y$53,IF($C$16="m^3/hr.",'Cost summary'!E25*$Y$59,IF($C$16="kg./hr.",'Cost summary'!E25*$Y$55))))</f>
        <v>0</v>
      </c>
    </row>
    <row r="27" spans="1:26" s="223" customFormat="1" ht="35" thickBot="1">
      <c r="A27" s="375"/>
      <c r="B27" s="623" t="s">
        <v>223</v>
      </c>
      <c r="C27" s="643" t="str">
        <f t="shared" ref="C27:C36" si="3">IFERROR(IF($C$22="Solid",S8,IF($C$22="Liquid",S23,X23)),"")</f>
        <v>$/ton</v>
      </c>
      <c r="D27" s="665"/>
      <c r="E27" s="667">
        <f t="shared" ref="E27:E36" si="4">IFERROR(IF($C$22="Solid",U8,IF($C$22="Liquid",U23,Z23)),"")</f>
        <v>0</v>
      </c>
      <c r="F27" s="968"/>
      <c r="G27" s="968"/>
      <c r="H27" s="968"/>
      <c r="I27" s="969"/>
      <c r="J27" s="171"/>
      <c r="K27" s="388"/>
      <c r="L27" s="388"/>
      <c r="M27" s="388"/>
      <c r="N27" s="388"/>
      <c r="O27" s="388"/>
      <c r="P27" s="388"/>
      <c r="Q27" s="338"/>
      <c r="R27" s="8" t="s">
        <v>227</v>
      </c>
      <c r="S27" s="619" t="b">
        <f t="shared" si="1"/>
        <v>0</v>
      </c>
      <c r="T27" s="280" t="b">
        <f>IF($C$19="gpm",'Cost summary'!D26*$T$54,IF($C$19="lbs./hr.",'Cost summary'!D26*$T$53,IF($C$19="liter/hr.",'Cost summary'!D26*$T$56,IF($C$19="kg./hr.",'Cost summary'!D26*$T$55))))</f>
        <v>0</v>
      </c>
      <c r="U27" s="630" t="b">
        <f>IF($C$19="gpm",'Cost summary'!E26*$T$54,IF($C$19="lbs./hr.",'Cost summary'!E26*$T$53,IF($C$19="liter/hr.",'Cost summary'!E26*$T$56,IF($C$19="kg./hr.",'Cost summary'!E26*$T$55))))</f>
        <v>0</v>
      </c>
      <c r="W27" s="8" t="s">
        <v>227</v>
      </c>
      <c r="X27" s="513" t="b">
        <f t="shared" si="2"/>
        <v>0</v>
      </c>
      <c r="Y27" s="280" t="b">
        <f>IF($C$16="scfm",'Cost summary'!D26*$Y$58,IF($C$16="lbs./hr.",'Cost summary'!D26*$Y$53,IF($C$16="m^3/hr.",'Cost summary'!D26*$Y$59,IF($C$16="kg./hr.",'Cost summary'!D26*$Y$55))))</f>
        <v>0</v>
      </c>
      <c r="Z27" s="280" t="b">
        <f>IF($C$16="scfm",'Cost summary'!E26*$Y$58,IF($C$16="lbs./hr.",'Cost summary'!E26*$Y$53,IF($C$16="m^3/hr.",'Cost summary'!E26*$Y$59,IF($C$16="kg./hr.",'Cost summary'!E26*$Y$55))))</f>
        <v>0</v>
      </c>
    </row>
    <row r="28" spans="1:26" s="223" customFormat="1" ht="35" thickBot="1">
      <c r="A28" s="375"/>
      <c r="B28" s="623" t="s">
        <v>224</v>
      </c>
      <c r="C28" s="643" t="str">
        <f t="shared" si="3"/>
        <v>$/ton</v>
      </c>
      <c r="D28" s="667">
        <f t="shared" ref="D28:D36" si="5">IFERROR(IF($C$22="Solid",T9,IF($C$22="Liquid",T24,Y24)),"")</f>
        <v>0</v>
      </c>
      <c r="E28" s="667">
        <f t="shared" si="4"/>
        <v>0</v>
      </c>
      <c r="F28" s="968"/>
      <c r="G28" s="968"/>
      <c r="H28" s="968"/>
      <c r="I28" s="969"/>
      <c r="J28" s="171"/>
      <c r="K28" s="388"/>
      <c r="L28" s="388"/>
      <c r="M28" s="388"/>
      <c r="N28" s="388"/>
      <c r="O28" s="388"/>
      <c r="P28" s="388"/>
      <c r="Q28" s="338"/>
      <c r="R28" s="8" t="s">
        <v>228</v>
      </c>
      <c r="S28" s="619" t="b">
        <f t="shared" si="1"/>
        <v>0</v>
      </c>
      <c r="T28" s="280" t="b">
        <f>IF($C$19="gpm",'Cost summary'!D27*$T$54,IF($C$19="lbs./hr.",'Cost summary'!D27*$T$53,IF($C$19="liter/hr.",'Cost summary'!D27*$T$56,IF($C$19="kg./hr.",'Cost summary'!D27*$T$55))))</f>
        <v>0</v>
      </c>
      <c r="U28" s="630" t="b">
        <f>IF($C$19="gpm",'Cost summary'!E27*$T$54,IF($C$19="lbs./hr.",'Cost summary'!E27*$T$53,IF($C$19="liter/hr.",'Cost summary'!E27*$T$56,IF($C$19="kg./hr.",'Cost summary'!E27*$T$55))))</f>
        <v>0</v>
      </c>
      <c r="W28" s="8" t="s">
        <v>228</v>
      </c>
      <c r="X28" s="513" t="b">
        <f t="shared" si="2"/>
        <v>0</v>
      </c>
      <c r="Y28" s="280" t="b">
        <f>IF($C$16="scfm",'Cost summary'!D27*$Y$58,IF($C$16="lbs./hr.",'Cost summary'!D27*$Y$53,IF($C$16="m^3/hr.",'Cost summary'!D27*$Y$59,IF($C$16="kg./hr.",'Cost summary'!D27*$Y$55))))</f>
        <v>0</v>
      </c>
      <c r="Z28" s="280" t="b">
        <f>IF($C$16="scfm",'Cost summary'!E27*$Y$58,IF($C$16="lbs./hr.",'Cost summary'!E27*$Y$53,IF($C$16="m^3/hr.",'Cost summary'!E27*$Y$59,IF($C$16="kg./hr.",'Cost summary'!E27*$Y$55))))</f>
        <v>0</v>
      </c>
    </row>
    <row r="29" spans="1:26" s="223" customFormat="1" ht="35" thickBot="1">
      <c r="A29" s="375"/>
      <c r="B29" s="623" t="s">
        <v>225</v>
      </c>
      <c r="C29" s="643" t="str">
        <f t="shared" si="3"/>
        <v>$/ton</v>
      </c>
      <c r="D29" s="667">
        <f t="shared" si="5"/>
        <v>0</v>
      </c>
      <c r="E29" s="667">
        <f t="shared" si="4"/>
        <v>0</v>
      </c>
      <c r="F29" s="968"/>
      <c r="G29" s="968"/>
      <c r="H29" s="968"/>
      <c r="I29" s="969"/>
      <c r="J29" s="171"/>
      <c r="K29" s="388"/>
      <c r="L29" s="388"/>
      <c r="M29" s="388"/>
      <c r="N29" s="388"/>
      <c r="O29" s="388"/>
      <c r="P29" s="388"/>
      <c r="Q29" s="338"/>
      <c r="R29" s="8" t="s">
        <v>229</v>
      </c>
      <c r="S29" s="619" t="b">
        <f t="shared" si="1"/>
        <v>0</v>
      </c>
      <c r="T29" s="280" t="b">
        <f>IF($C$19="gpm",'Cost summary'!D28*$T$54,IF($C$19="lbs./hr.",'Cost summary'!D28*$T$53,IF($C$19="liter/hr.",'Cost summary'!D28*$T$56,IF($C$19="kg./hr.",'Cost summary'!D28*$T$55))))</f>
        <v>0</v>
      </c>
      <c r="U29" s="630" t="b">
        <f>IF($C$19="gpm",'Cost summary'!E28*$T$54,IF($C$19="lbs./hr.",'Cost summary'!E28*$T$53,IF($C$19="liter/hr.",'Cost summary'!E28*$T$56,IF($C$19="kg./hr.",'Cost summary'!E28*$T$55))))</f>
        <v>0</v>
      </c>
      <c r="W29" s="8" t="s">
        <v>229</v>
      </c>
      <c r="X29" s="513" t="b">
        <f t="shared" si="2"/>
        <v>0</v>
      </c>
      <c r="Y29" s="280" t="b">
        <f>IF($C$16="scfm",'Cost summary'!D28*$Y$58,IF($C$16="lbs./hr.",'Cost summary'!D28*$Y$53,IF($C$16="m^3/hr.",'Cost summary'!D28*$Y$59,IF($C$16="kg./hr.",'Cost summary'!D28*$Y$55))))</f>
        <v>0</v>
      </c>
      <c r="Z29" s="280" t="b">
        <f>IF($C$16="scfm",'Cost summary'!E28*$Y$58,IF($C$16="lbs./hr.",'Cost summary'!E28*$Y$53,IF($C$16="m^3/hr.",'Cost summary'!E28*$Y$59,IF($C$16="kg./hr.",'Cost summary'!E28*$Y$55))))</f>
        <v>0</v>
      </c>
    </row>
    <row r="30" spans="1:26" s="223" customFormat="1" ht="35" thickBot="1">
      <c r="A30" s="375"/>
      <c r="B30" s="623" t="s">
        <v>226</v>
      </c>
      <c r="C30" s="643" t="str">
        <f t="shared" si="3"/>
        <v>$/ton</v>
      </c>
      <c r="D30" s="667">
        <f t="shared" si="5"/>
        <v>0</v>
      </c>
      <c r="E30" s="667">
        <f t="shared" si="4"/>
        <v>0</v>
      </c>
      <c r="F30" s="968"/>
      <c r="G30" s="968"/>
      <c r="H30" s="968"/>
      <c r="I30" s="969"/>
      <c r="J30" s="171"/>
      <c r="K30" s="388"/>
      <c r="L30" s="388"/>
      <c r="M30" s="388"/>
      <c r="N30" s="388"/>
      <c r="O30" s="388"/>
      <c r="P30" s="388"/>
      <c r="Q30" s="338"/>
      <c r="R30" s="8" t="s">
        <v>231</v>
      </c>
      <c r="S30" s="619" t="b">
        <f t="shared" si="1"/>
        <v>0</v>
      </c>
      <c r="T30" s="280" t="b">
        <f>IF($C$19="gpm",'Cost summary'!D29*$T$54,IF($C$19="lbs./hr.",'Cost summary'!D29*$T$53,IF($C$19="liter/hr.",'Cost summary'!D29*$T$56,IF($C$19="kg./hr.",'Cost summary'!D29*$T$55))))</f>
        <v>0</v>
      </c>
      <c r="U30" s="630" t="b">
        <f>IF($C$19="gpm",'Cost summary'!E29*$T$54,IF($C$19="lbs./hr.",'Cost summary'!E29*$T$53,IF($C$19="liter/hr.",'Cost summary'!E29*$T$56,IF($C$19="kg./hr.",'Cost summary'!E29*$T$55))))</f>
        <v>0</v>
      </c>
      <c r="W30" s="8" t="s">
        <v>231</v>
      </c>
      <c r="X30" s="513" t="b">
        <f t="shared" si="2"/>
        <v>0</v>
      </c>
      <c r="Y30" s="280" t="b">
        <f>IF($C$16="scfm",'Cost summary'!D29*$Y$58,IF($C$16="lbs./hr.",'Cost summary'!D29*$Y$53,IF($C$16="m^3/hr.",'Cost summary'!D29*$Y$59,IF($C$16="kg./hr.",'Cost summary'!D29*$Y$55))))</f>
        <v>0</v>
      </c>
      <c r="Z30" s="280" t="b">
        <f>IF($C$16="scfm",'Cost summary'!E29*$Y$58,IF($C$16="lbs./hr.",'Cost summary'!E29*$Y$53,IF($C$16="m^3/hr.",'Cost summary'!E29*$Y$59,IF($C$16="kg./hr.",'Cost summary'!E29*$Y$55))))</f>
        <v>0</v>
      </c>
    </row>
    <row r="31" spans="1:26" s="223" customFormat="1" ht="30.75" customHeight="1" thickBot="1">
      <c r="A31" s="375"/>
      <c r="B31" s="623" t="s">
        <v>227</v>
      </c>
      <c r="C31" s="643" t="str">
        <f t="shared" si="3"/>
        <v>$/ton</v>
      </c>
      <c r="D31" s="667">
        <f t="shared" si="5"/>
        <v>0</v>
      </c>
      <c r="E31" s="667">
        <f t="shared" si="4"/>
        <v>0</v>
      </c>
      <c r="F31" s="968"/>
      <c r="G31" s="968"/>
      <c r="H31" s="968"/>
      <c r="I31" s="969"/>
      <c r="J31" s="171"/>
      <c r="K31" s="388"/>
      <c r="L31" s="388"/>
      <c r="M31" s="388"/>
      <c r="N31" s="388"/>
      <c r="O31" s="388"/>
      <c r="P31" s="388"/>
      <c r="Q31" s="338"/>
      <c r="R31" s="8" t="s">
        <v>230</v>
      </c>
      <c r="S31" s="619" t="b">
        <f t="shared" si="1"/>
        <v>0</v>
      </c>
      <c r="T31" s="280" t="b">
        <f>IF($C$19="gpm",'Cost summary'!D30*$T$54,IF($C$19="lbs./hr.",'Cost summary'!D30*$T$53,IF($C$19="liter/hr.",'Cost summary'!D30*$T$56,IF($C$19="kg./hr.",'Cost summary'!D30*$T$55))))</f>
        <v>0</v>
      </c>
      <c r="U31" s="630" t="b">
        <f>IF($C$19="gpm",'Cost summary'!E30*$T$54,IF($C$19="lbs./hr.",'Cost summary'!E30*$T$53,IF($C$19="liter/hr.",'Cost summary'!E30*$T$56,IF($C$19="kg./hr.",'Cost summary'!E30*$T$55))))</f>
        <v>0</v>
      </c>
      <c r="W31" s="8" t="s">
        <v>230</v>
      </c>
      <c r="X31" s="513" t="b">
        <f t="shared" si="2"/>
        <v>0</v>
      </c>
      <c r="Y31" s="280" t="b">
        <f>IF($C$16="scfm",'Cost summary'!D30*$Y$58,IF($C$16="lbs./hr.",'Cost summary'!D30*$Y$53,IF($C$16="m^3/hr.",'Cost summary'!D30*$Y$59,IF($C$16="kg./hr.",'Cost summary'!D30*$Y$55))))</f>
        <v>0</v>
      </c>
      <c r="Z31" s="280" t="b">
        <f>IF($C$16="scfm",'Cost summary'!E30*$Y$58,IF($C$16="lbs./hr.",'Cost summary'!E30*$Y$53,IF($C$16="m^3/hr.",'Cost summary'!E30*$Y$59,IF($C$16="kg./hr.",'Cost summary'!E30*$Y$55))))</f>
        <v>0</v>
      </c>
    </row>
    <row r="32" spans="1:26" s="223" customFormat="1" ht="31.5" customHeight="1" thickBot="1">
      <c r="A32" s="375"/>
      <c r="B32" s="623" t="s">
        <v>228</v>
      </c>
      <c r="C32" s="643" t="str">
        <f t="shared" si="3"/>
        <v>$/ton</v>
      </c>
      <c r="D32" s="667">
        <f t="shared" si="5"/>
        <v>0</v>
      </c>
      <c r="E32" s="667">
        <f t="shared" si="4"/>
        <v>0</v>
      </c>
      <c r="F32" s="968"/>
      <c r="G32" s="968"/>
      <c r="H32" s="968"/>
      <c r="I32" s="969"/>
      <c r="J32" s="171"/>
      <c r="K32" s="388"/>
      <c r="L32" s="388"/>
      <c r="M32" s="388"/>
      <c r="N32" s="388"/>
      <c r="O32" s="388"/>
      <c r="P32" s="388"/>
      <c r="Q32" s="338"/>
      <c r="R32" s="10" t="s">
        <v>83</v>
      </c>
      <c r="S32" s="620" t="b">
        <f t="shared" si="1"/>
        <v>0</v>
      </c>
      <c r="T32" s="280" t="b">
        <f>IF($C$19="gpm",'Cost summary'!D31*$T$54,IF($C$19="lbs./hr.",'Cost summary'!D31*$T$53,IF($C$19="liter/hr.",'Cost summary'!D31*$T$56,IF($C$19="kg./hr.",'Cost summary'!D31*$T$55))))</f>
        <v>0</v>
      </c>
      <c r="U32" s="630" t="b">
        <f>IF($C$19="gpm",'Cost summary'!E31*$T$54,IF($C$19="lbs./hr.",'Cost summary'!E31*$T$53,IF($C$19="liter/hr.",'Cost summary'!E31*$T$56,IF($C$19="kg./hr.",'Cost summary'!E31*$T$55))))</f>
        <v>0</v>
      </c>
      <c r="W32" s="10" t="s">
        <v>83</v>
      </c>
      <c r="X32" s="515" t="b">
        <f t="shared" si="2"/>
        <v>0</v>
      </c>
      <c r="Y32" s="280" t="b">
        <f>IF($C$16="scfm",'Cost summary'!D31*$Y$58,IF($C$16="lbs./hr.",'Cost summary'!D31*$Y$53,IF($C$16="m^3/hr.",'Cost summary'!D31*$Y$59,IF($C$16="kg./hr.",'Cost summary'!D31*$Y$55))))</f>
        <v>0</v>
      </c>
      <c r="Z32" s="280" t="b">
        <f>IF($C$16="scfm",'Cost summary'!E31*$Y$58,IF($C$16="lbs./hr.",'Cost summary'!E31*$Y$53,IF($C$16="m^3/hr.",'Cost summary'!E31*$Y$59,IF($C$16="kg./hr.",'Cost summary'!E31*$Y$55))))</f>
        <v>0</v>
      </c>
    </row>
    <row r="33" spans="1:30" s="223" customFormat="1" ht="24.75" customHeight="1">
      <c r="A33" s="375"/>
      <c r="B33" s="623" t="s">
        <v>229</v>
      </c>
      <c r="C33" s="643" t="str">
        <f t="shared" si="3"/>
        <v>$/ton</v>
      </c>
      <c r="D33" s="667">
        <f t="shared" si="5"/>
        <v>0</v>
      </c>
      <c r="E33" s="667">
        <f t="shared" si="4"/>
        <v>0</v>
      </c>
      <c r="F33" s="968"/>
      <c r="G33" s="968"/>
      <c r="H33" s="968"/>
      <c r="I33" s="969"/>
      <c r="J33" s="171"/>
      <c r="K33" s="388"/>
      <c r="L33" s="388"/>
      <c r="M33" s="388"/>
      <c r="N33" s="388"/>
      <c r="O33" s="388"/>
      <c r="P33" s="388"/>
      <c r="Q33" s="338"/>
      <c r="R33" s="338"/>
      <c r="S33" s="338"/>
    </row>
    <row r="34" spans="1:30" s="223" customFormat="1" ht="24.75" customHeight="1">
      <c r="A34" s="375"/>
      <c r="B34" s="623" t="s">
        <v>1575</v>
      </c>
      <c r="C34" s="643" t="str">
        <f t="shared" si="3"/>
        <v>$/ton</v>
      </c>
      <c r="D34" s="667">
        <f t="shared" si="5"/>
        <v>0</v>
      </c>
      <c r="E34" s="667">
        <f t="shared" si="4"/>
        <v>0</v>
      </c>
      <c r="F34" s="968"/>
      <c r="G34" s="968"/>
      <c r="H34" s="968"/>
      <c r="I34" s="969"/>
      <c r="J34" s="171"/>
      <c r="K34" s="388"/>
      <c r="L34" s="388"/>
      <c r="M34" s="388"/>
      <c r="N34" s="388"/>
      <c r="O34" s="388"/>
      <c r="P34" s="388"/>
      <c r="Q34" s="338"/>
      <c r="R34" s="338"/>
      <c r="S34" s="338"/>
    </row>
    <row r="35" spans="1:30" s="223" customFormat="1" ht="26.25" customHeight="1">
      <c r="A35" s="375"/>
      <c r="B35" s="623" t="s">
        <v>230</v>
      </c>
      <c r="C35" s="643" t="str">
        <f t="shared" si="3"/>
        <v>$/ton</v>
      </c>
      <c r="D35" s="667">
        <f t="shared" si="5"/>
        <v>0</v>
      </c>
      <c r="E35" s="667">
        <f t="shared" si="4"/>
        <v>0</v>
      </c>
      <c r="F35" s="968"/>
      <c r="G35" s="968"/>
      <c r="H35" s="968"/>
      <c r="I35" s="969"/>
      <c r="J35" s="171"/>
      <c r="K35" s="388"/>
      <c r="L35" s="388"/>
      <c r="M35" s="388"/>
      <c r="N35" s="388"/>
      <c r="O35" s="388"/>
      <c r="P35" s="388"/>
      <c r="Q35" s="338"/>
      <c r="R35" s="373"/>
      <c r="S35" s="373"/>
      <c r="T35" s="373"/>
      <c r="Z35"/>
      <c r="AA35"/>
      <c r="AB35"/>
      <c r="AC35"/>
      <c r="AD35"/>
    </row>
    <row r="36" spans="1:30" s="223" customFormat="1" ht="27" customHeight="1" thickBot="1">
      <c r="A36" s="375"/>
      <c r="B36" s="624" t="s">
        <v>83</v>
      </c>
      <c r="C36" s="644" t="str">
        <f t="shared" si="3"/>
        <v>$/ton</v>
      </c>
      <c r="D36" s="668">
        <f t="shared" si="5"/>
        <v>0</v>
      </c>
      <c r="E36" s="668">
        <f t="shared" si="4"/>
        <v>0</v>
      </c>
      <c r="F36" s="970"/>
      <c r="G36" s="970"/>
      <c r="H36" s="970"/>
      <c r="I36" s="971"/>
      <c r="J36" s="171"/>
      <c r="K36" s="388"/>
      <c r="L36" s="388"/>
      <c r="M36" s="388"/>
      <c r="N36" s="388"/>
      <c r="O36" s="388"/>
      <c r="P36" s="388"/>
      <c r="Q36" s="338"/>
      <c r="R36" s="373"/>
      <c r="S36" s="373"/>
      <c r="T36" s="373"/>
      <c r="Z36"/>
      <c r="AA36"/>
      <c r="AB36"/>
      <c r="AC36"/>
      <c r="AD36"/>
    </row>
    <row r="37" spans="1:30" s="223" customFormat="1" ht="17" thickBot="1">
      <c r="A37" s="375"/>
      <c r="B37" s="375"/>
      <c r="C37" s="375"/>
      <c r="D37" s="375"/>
      <c r="E37" s="375"/>
      <c r="F37" s="967"/>
      <c r="G37" s="967"/>
      <c r="H37" s="967"/>
      <c r="I37" s="967"/>
      <c r="K37" s="375"/>
      <c r="L37" s="375"/>
      <c r="M37" s="375"/>
      <c r="N37" s="375"/>
      <c r="O37" s="375"/>
      <c r="P37" s="375"/>
      <c r="R37" s="373"/>
      <c r="S37" s="373"/>
      <c r="T37" s="373"/>
      <c r="Z37"/>
      <c r="AA37"/>
      <c r="AB37"/>
      <c r="AC37"/>
      <c r="AD37"/>
    </row>
    <row r="38" spans="1:30" s="223" customFormat="1" ht="32.5" customHeight="1" thickBot="1">
      <c r="A38" s="375"/>
      <c r="B38" s="1033" t="s">
        <v>84</v>
      </c>
      <c r="C38" s="1034"/>
      <c r="D38" s="1086" t="str">
        <f>IFERROR(D36/E36,"")</f>
        <v/>
      </c>
      <c r="E38" s="1087"/>
      <c r="F38" s="1037" t="str">
        <f>IF((D38&gt;1), "Cost of fuel fired system is higher than the cost with use of electrotechnology", "Cost of fuel fired system is less than the cost with use of electrotechnology")</f>
        <v>Cost of fuel fired system is higher than the cost with use of electrotechnology</v>
      </c>
      <c r="G38" s="1037"/>
      <c r="H38" s="1037"/>
      <c r="I38" s="1038"/>
      <c r="J38" s="141"/>
      <c r="K38" s="389"/>
      <c r="L38" s="389"/>
      <c r="M38" s="375"/>
      <c r="N38" s="375"/>
      <c r="O38" s="375"/>
      <c r="P38" s="375"/>
      <c r="R38" s="373"/>
      <c r="S38" s="373"/>
      <c r="T38" s="373"/>
      <c r="Z38"/>
      <c r="AA38"/>
      <c r="AB38"/>
      <c r="AC38"/>
      <c r="AD38"/>
    </row>
    <row r="39" spans="1:30" s="375" customFormat="1">
      <c r="B39" s="967" t="s">
        <v>90</v>
      </c>
      <c r="C39" s="967"/>
      <c r="D39" s="967"/>
      <c r="E39" s="967"/>
      <c r="F39" s="967"/>
      <c r="G39" s="967"/>
      <c r="H39" s="967"/>
      <c r="I39" s="967"/>
      <c r="R39" s="373"/>
      <c r="S39" s="373"/>
      <c r="T39" s="373"/>
      <c r="Z39"/>
      <c r="AA39"/>
      <c r="AB39"/>
      <c r="AC39"/>
      <c r="AD39"/>
    </row>
    <row r="40" spans="1:30" s="375" customFormat="1">
      <c r="B40" s="967"/>
      <c r="C40" s="967"/>
      <c r="D40" s="967"/>
      <c r="E40" s="967"/>
      <c r="F40" s="967"/>
      <c r="G40" s="967"/>
      <c r="H40" s="967"/>
      <c r="I40" s="967"/>
      <c r="R40" s="373"/>
      <c r="S40" s="373"/>
      <c r="T40" s="373"/>
      <c r="Z40"/>
      <c r="AA40"/>
      <c r="AB40"/>
      <c r="AC40"/>
      <c r="AD40"/>
    </row>
    <row r="41" spans="1:30" s="375" customFormat="1" hidden="1">
      <c r="R41" s="373"/>
      <c r="S41" s="373"/>
      <c r="T41" s="373"/>
      <c r="Z41"/>
      <c r="AA41"/>
      <c r="AB41"/>
      <c r="AC41"/>
      <c r="AD41"/>
    </row>
    <row r="42" spans="1:30" s="375" customFormat="1" hidden="1">
      <c r="R42" s="373"/>
      <c r="S42" s="373"/>
      <c r="T42" s="635"/>
      <c r="Z42"/>
      <c r="AA42"/>
      <c r="AB42"/>
      <c r="AC42"/>
      <c r="AD42"/>
    </row>
    <row r="43" spans="1:30" s="375" customFormat="1" ht="17" hidden="1">
      <c r="B43" s="375" t="s">
        <v>28</v>
      </c>
      <c r="R43" s="373"/>
      <c r="S43" s="373"/>
      <c r="T43" s="635"/>
      <c r="Z43"/>
      <c r="AA43"/>
      <c r="AB43" s="628"/>
      <c r="AC43"/>
      <c r="AD43"/>
    </row>
    <row r="44" spans="1:30" s="375" customFormat="1" ht="17" hidden="1">
      <c r="B44" s="385" t="s">
        <v>24</v>
      </c>
      <c r="C44" s="385" t="s">
        <v>64</v>
      </c>
      <c r="D44" s="385" t="s">
        <v>66</v>
      </c>
      <c r="Z44"/>
      <c r="AA44"/>
      <c r="AB44" s="629"/>
      <c r="AC44"/>
      <c r="AD44"/>
    </row>
    <row r="45" spans="1:30" s="375" customFormat="1" ht="34" hidden="1">
      <c r="B45" s="385" t="s">
        <v>25</v>
      </c>
      <c r="C45" s="385" t="s">
        <v>65</v>
      </c>
      <c r="D45" s="385" t="s">
        <v>67</v>
      </c>
      <c r="Z45"/>
      <c r="AA45"/>
      <c r="AB45"/>
      <c r="AC45"/>
      <c r="AD45"/>
    </row>
    <row r="46" spans="1:30" s="375" customFormat="1" ht="17" hidden="1">
      <c r="B46" s="385" t="s">
        <v>26</v>
      </c>
      <c r="C46" s="385"/>
      <c r="D46" s="385"/>
      <c r="Z46"/>
      <c r="AA46"/>
      <c r="AB46"/>
      <c r="AC46"/>
      <c r="AD46"/>
    </row>
    <row r="47" spans="1:30" s="375" customFormat="1" ht="17" hidden="1">
      <c r="B47" s="385" t="s">
        <v>27</v>
      </c>
      <c r="C47" s="385"/>
      <c r="D47" s="385"/>
      <c r="Z47"/>
      <c r="AA47"/>
      <c r="AB47"/>
      <c r="AC47"/>
      <c r="AD47"/>
    </row>
    <row r="48" spans="1:30" s="375" customFormat="1" ht="17" hidden="1">
      <c r="B48" s="385" t="s">
        <v>58</v>
      </c>
      <c r="C48" s="385"/>
      <c r="D48" s="385"/>
    </row>
    <row r="49" spans="18:27" s="375" customFormat="1">
      <c r="R49" t="s">
        <v>706</v>
      </c>
      <c r="S49"/>
      <c r="T49"/>
      <c r="W49" t="s">
        <v>706</v>
      </c>
      <c r="X49"/>
      <c r="Y49"/>
      <c r="Z49"/>
      <c r="AA49"/>
    </row>
    <row r="50" spans="18:27" s="375" customFormat="1">
      <c r="R50" t="s">
        <v>708</v>
      </c>
      <c r="S50" t="s">
        <v>709</v>
      </c>
      <c r="T50">
        <v>8.35</v>
      </c>
      <c r="W50" t="s">
        <v>708</v>
      </c>
      <c r="X50" t="s">
        <v>709</v>
      </c>
      <c r="Y50">
        <v>8.35</v>
      </c>
      <c r="Z50"/>
      <c r="AA50"/>
    </row>
    <row r="51" spans="18:27" s="375" customFormat="1">
      <c r="R51"/>
      <c r="S51"/>
      <c r="T51"/>
      <c r="W51"/>
      <c r="X51"/>
      <c r="Y51"/>
      <c r="Z51"/>
      <c r="AA51"/>
    </row>
    <row r="52" spans="18:27" s="375" customFormat="1">
      <c r="R52" t="s">
        <v>702</v>
      </c>
      <c r="S52" t="s">
        <v>703</v>
      </c>
      <c r="T52" t="s">
        <v>705</v>
      </c>
      <c r="W52" t="s">
        <v>702</v>
      </c>
      <c r="X52" t="s">
        <v>703</v>
      </c>
      <c r="Y52" t="s">
        <v>705</v>
      </c>
      <c r="Z52"/>
      <c r="AA52"/>
    </row>
    <row r="53" spans="18:27" s="373" customFormat="1">
      <c r="R53" t="s">
        <v>684</v>
      </c>
      <c r="S53" t="s">
        <v>704</v>
      </c>
      <c r="T53">
        <f>1/2000</f>
        <v>5.0000000000000001E-4</v>
      </c>
      <c r="W53" t="s">
        <v>684</v>
      </c>
      <c r="X53" t="s">
        <v>822</v>
      </c>
      <c r="Y53">
        <f>1/2000</f>
        <v>5.0000000000000001E-4</v>
      </c>
      <c r="Z53"/>
      <c r="AA53"/>
    </row>
    <row r="54" spans="18:27" s="373" customFormat="1">
      <c r="R54" t="s">
        <v>684</v>
      </c>
      <c r="S54" t="s">
        <v>707</v>
      </c>
      <c r="T54">
        <f>T53*T50</f>
        <v>4.1749999999999999E-3</v>
      </c>
      <c r="W54" t="s">
        <v>684</v>
      </c>
      <c r="X54" t="s">
        <v>707</v>
      </c>
      <c r="Y54">
        <f>Y53*Y50</f>
        <v>4.1749999999999999E-3</v>
      </c>
      <c r="Z54"/>
      <c r="AA54"/>
    </row>
    <row r="55" spans="18:27" s="373" customFormat="1">
      <c r="R55" t="s">
        <v>684</v>
      </c>
      <c r="S55" t="s">
        <v>710</v>
      </c>
      <c r="T55">
        <f>T53*22.046</f>
        <v>1.1023E-2</v>
      </c>
      <c r="W55" t="s">
        <v>684</v>
      </c>
      <c r="X55" t="s">
        <v>710</v>
      </c>
      <c r="Y55">
        <f>Y53*22.046</f>
        <v>1.1023E-2</v>
      </c>
      <c r="Z55"/>
      <c r="AA55"/>
    </row>
    <row r="56" spans="18:27" s="373" customFormat="1">
      <c r="R56" t="s">
        <v>684</v>
      </c>
      <c r="S56" t="s">
        <v>711</v>
      </c>
      <c r="T56">
        <f>T54*0.2642</f>
        <v>1.103035E-3</v>
      </c>
      <c r="W56" t="s">
        <v>684</v>
      </c>
      <c r="X56" t="s">
        <v>711</v>
      </c>
      <c r="Y56">
        <f>Y54*0.2642</f>
        <v>1.103035E-3</v>
      </c>
      <c r="Z56"/>
      <c r="AA56"/>
    </row>
    <row r="57" spans="18:27" s="373" customFormat="1">
      <c r="R57" t="s">
        <v>684</v>
      </c>
      <c r="S57" t="s">
        <v>684</v>
      </c>
      <c r="T57">
        <v>1</v>
      </c>
      <c r="W57" t="s">
        <v>684</v>
      </c>
      <c r="X57" t="str">
        <f>W57</f>
        <v xml:space="preserve">$/ton </v>
      </c>
      <c r="Y57" s="628">
        <v>1</v>
      </c>
      <c r="Z57"/>
      <c r="AA57"/>
    </row>
    <row r="58" spans="18:27" s="373" customFormat="1">
      <c r="W58" t="s">
        <v>684</v>
      </c>
      <c r="X58" t="s">
        <v>823</v>
      </c>
      <c r="Y58" s="629">
        <f>D85*gas!D10</f>
        <v>0</v>
      </c>
      <c r="Z58"/>
      <c r="AA58" t="s">
        <v>581</v>
      </c>
    </row>
    <row r="59" spans="18:27" s="373" customFormat="1">
      <c r="W59" t="s">
        <v>684</v>
      </c>
      <c r="X59" t="s">
        <v>824</v>
      </c>
      <c r="Y59">
        <f>Y58*35.31</f>
        <v>0</v>
      </c>
      <c r="Z59"/>
      <c r="AA59" t="s">
        <v>699</v>
      </c>
    </row>
    <row r="60" spans="18:27" s="373" customFormat="1">
      <c r="W60"/>
      <c r="X60"/>
      <c r="Y60"/>
      <c r="Z60"/>
      <c r="AA60" t="s">
        <v>114</v>
      </c>
    </row>
    <row r="61" spans="18:27" s="373" customFormat="1">
      <c r="W61"/>
      <c r="X61"/>
      <c r="Y61"/>
      <c r="Z61"/>
      <c r="AA61" t="s">
        <v>696</v>
      </c>
    </row>
    <row r="62" spans="18:27" s="373" customFormat="1">
      <c r="W62"/>
      <c r="X62"/>
      <c r="Y62"/>
      <c r="Z62"/>
      <c r="AA62"/>
    </row>
    <row r="63" spans="18:27" s="373" customFormat="1"/>
    <row r="64" spans="18:27" s="373" customFormat="1"/>
    <row r="65" spans="2:7" s="373" customFormat="1"/>
    <row r="66" spans="2:7" s="373" customFormat="1"/>
    <row r="67" spans="2:7" s="373" customFormat="1"/>
    <row r="68" spans="2:7" s="373" customFormat="1" ht="19">
      <c r="G68" s="386"/>
    </row>
    <row r="69" spans="2:7" s="373" customFormat="1">
      <c r="B69" s="373" t="s">
        <v>36</v>
      </c>
      <c r="G69" s="387"/>
    </row>
    <row r="70" spans="2:7" s="373" customFormat="1"/>
    <row r="71" spans="2:7" s="373" customFormat="1"/>
    <row r="72" spans="2:7" s="373" customFormat="1"/>
    <row r="73" spans="2:7" s="373" customFormat="1"/>
    <row r="74" spans="2:7" s="373" customFormat="1"/>
    <row r="75" spans="2:7" s="373" customFormat="1"/>
    <row r="76" spans="2:7" s="373" customFormat="1"/>
    <row r="77" spans="2:7" s="373" customFormat="1"/>
    <row r="78" spans="2:7" s="373" customFormat="1"/>
    <row r="79" spans="2:7" s="373" customFormat="1"/>
    <row r="80" spans="2:7" s="373" customFormat="1"/>
    <row r="81" s="373" customFormat="1"/>
    <row r="82" s="373" customFormat="1"/>
    <row r="83" s="373" customFormat="1"/>
    <row r="84" s="373" customFormat="1"/>
    <row r="85" s="373" customFormat="1"/>
    <row r="86" s="373" customFormat="1"/>
    <row r="87" s="373" customFormat="1"/>
    <row r="88" s="373" customFormat="1"/>
    <row r="89" s="373" customFormat="1"/>
    <row r="90" s="373" customFormat="1"/>
    <row r="91" s="373" customFormat="1"/>
    <row r="92" s="373" customFormat="1"/>
    <row r="93" s="373" customFormat="1"/>
    <row r="94" s="373" customFormat="1"/>
    <row r="95" s="373" customFormat="1"/>
    <row r="96" s="373" customFormat="1"/>
    <row r="97" spans="2:14" s="373" customFormat="1"/>
    <row r="98" spans="2:14" s="373" customFormat="1"/>
    <row r="99" spans="2:14" s="373" customFormat="1" ht="31.5" customHeight="1" thickBot="1">
      <c r="B99" s="648" t="s">
        <v>834</v>
      </c>
    </row>
    <row r="100" spans="2:14" s="373" customFormat="1" ht="25" customHeight="1">
      <c r="B100" s="645" t="s">
        <v>826</v>
      </c>
      <c r="C100" s="1070" t="str">
        <f>IF('Facility Level Impact'!J8="No","No Impact to Production","")</f>
        <v/>
      </c>
      <c r="D100" s="1070"/>
      <c r="E100" s="637"/>
      <c r="F100" s="637"/>
      <c r="G100" s="637"/>
      <c r="H100" s="637"/>
      <c r="I100" s="637"/>
      <c r="J100" s="637"/>
      <c r="K100" s="637"/>
      <c r="L100" s="637"/>
      <c r="M100" s="637"/>
      <c r="N100" s="638"/>
    </row>
    <row r="101" spans="2:14" s="373" customFormat="1" ht="25" customHeight="1">
      <c r="B101" s="1075" t="str">
        <f>IFERROR('Facility Level Impact'!C9,"")</f>
        <v/>
      </c>
      <c r="C101" s="1076"/>
      <c r="D101" s="1076"/>
      <c r="E101" s="1076"/>
      <c r="F101" s="1076"/>
      <c r="G101" s="1076"/>
      <c r="H101" s="1076"/>
      <c r="I101" s="1076"/>
      <c r="J101" s="1076"/>
      <c r="K101" s="1076"/>
      <c r="L101" s="1076"/>
      <c r="M101" s="1076"/>
      <c r="N101" s="1077"/>
    </row>
    <row r="102" spans="2:14" s="373" customFormat="1" ht="33.75" customHeight="1">
      <c r="B102" s="1075"/>
      <c r="C102" s="1076"/>
      <c r="D102" s="1076"/>
      <c r="E102" s="1076"/>
      <c r="F102" s="1076"/>
      <c r="G102" s="1076"/>
      <c r="H102" s="1076"/>
      <c r="I102" s="1076"/>
      <c r="J102" s="1076"/>
      <c r="K102" s="1076"/>
      <c r="L102" s="1076"/>
      <c r="M102" s="1076"/>
      <c r="N102" s="1077"/>
    </row>
    <row r="103" spans="2:14" s="373" customFormat="1" ht="25" customHeight="1">
      <c r="B103" s="646"/>
      <c r="C103" s="381"/>
      <c r="D103" s="381"/>
      <c r="E103" s="381"/>
      <c r="F103" s="381"/>
      <c r="G103" s="381"/>
      <c r="H103" s="381"/>
      <c r="I103" s="381"/>
      <c r="J103" s="381"/>
      <c r="K103" s="381"/>
      <c r="L103" s="381"/>
      <c r="M103" s="381"/>
      <c r="N103" s="639"/>
    </row>
    <row r="104" spans="2:14" s="373" customFormat="1" ht="25" customHeight="1">
      <c r="B104" s="647" t="s">
        <v>827</v>
      </c>
      <c r="C104" s="1071" t="str">
        <f>IF('Facility Level Impact'!J10="No","No Impact to Upstream Processes","")</f>
        <v/>
      </c>
      <c r="D104" s="1071"/>
      <c r="E104" s="381"/>
      <c r="F104" s="381"/>
      <c r="G104" s="381"/>
      <c r="H104" s="381"/>
      <c r="I104" s="381"/>
      <c r="J104" s="381"/>
      <c r="K104" s="381"/>
      <c r="L104" s="381"/>
      <c r="M104" s="381"/>
      <c r="N104" s="639"/>
    </row>
    <row r="105" spans="2:14" s="373" customFormat="1" ht="25" customHeight="1">
      <c r="B105" s="1072" t="str">
        <f>IFERROR('Facility Level Impact'!C11,"")</f>
        <v/>
      </c>
      <c r="C105" s="1073"/>
      <c r="D105" s="1073"/>
      <c r="E105" s="1073"/>
      <c r="F105" s="1073"/>
      <c r="G105" s="1073"/>
      <c r="H105" s="1073"/>
      <c r="I105" s="1073"/>
      <c r="J105" s="1073"/>
      <c r="K105" s="1073"/>
      <c r="L105" s="1073"/>
      <c r="M105" s="1073"/>
      <c r="N105" s="1074"/>
    </row>
    <row r="106" spans="2:14" s="373" customFormat="1" ht="29.25" customHeight="1">
      <c r="B106" s="1072"/>
      <c r="C106" s="1073"/>
      <c r="D106" s="1073"/>
      <c r="E106" s="1073"/>
      <c r="F106" s="1073"/>
      <c r="G106" s="1073"/>
      <c r="H106" s="1073"/>
      <c r="I106" s="1073"/>
      <c r="J106" s="1073"/>
      <c r="K106" s="1073"/>
      <c r="L106" s="1073"/>
      <c r="M106" s="1073"/>
      <c r="N106" s="1074"/>
    </row>
    <row r="107" spans="2:14" s="373" customFormat="1" ht="25" customHeight="1">
      <c r="B107" s="646"/>
      <c r="C107" s="381"/>
      <c r="D107" s="381"/>
      <c r="E107" s="381"/>
      <c r="F107" s="381"/>
      <c r="G107" s="381"/>
      <c r="H107" s="381"/>
      <c r="I107" s="381"/>
      <c r="J107" s="381"/>
      <c r="K107" s="381"/>
      <c r="L107" s="381"/>
      <c r="M107" s="381"/>
      <c r="N107" s="639"/>
    </row>
    <row r="108" spans="2:14" s="373" customFormat="1" ht="25" customHeight="1">
      <c r="B108" s="647" t="s">
        <v>828</v>
      </c>
      <c r="C108" s="1071" t="str">
        <f>IF('Facility Level Impact'!J12="No","No Impact to Downstream Processes","")</f>
        <v/>
      </c>
      <c r="D108" s="1071"/>
      <c r="E108" s="381"/>
      <c r="F108" s="381"/>
      <c r="G108" s="381"/>
      <c r="H108" s="381"/>
      <c r="I108" s="381"/>
      <c r="J108" s="381"/>
      <c r="K108" s="381"/>
      <c r="L108" s="381"/>
      <c r="M108" s="381"/>
      <c r="N108" s="639"/>
    </row>
    <row r="109" spans="2:14" s="373" customFormat="1" ht="25" customHeight="1">
      <c r="B109" s="1072" t="str">
        <f>IFERROR('Facility Level Impact'!C13,"")</f>
        <v/>
      </c>
      <c r="C109" s="1073"/>
      <c r="D109" s="1073"/>
      <c r="E109" s="1073"/>
      <c r="F109" s="1073"/>
      <c r="G109" s="1073"/>
      <c r="H109" s="1073"/>
      <c r="I109" s="1073"/>
      <c r="J109" s="1073"/>
      <c r="K109" s="1073"/>
      <c r="L109" s="1073"/>
      <c r="M109" s="1073"/>
      <c r="N109" s="1074"/>
    </row>
    <row r="110" spans="2:14" s="373" customFormat="1" ht="33.75" customHeight="1">
      <c r="B110" s="1072"/>
      <c r="C110" s="1073"/>
      <c r="D110" s="1073"/>
      <c r="E110" s="1073"/>
      <c r="F110" s="1073"/>
      <c r="G110" s="1073"/>
      <c r="H110" s="1073"/>
      <c r="I110" s="1073"/>
      <c r="J110" s="1073"/>
      <c r="K110" s="1073"/>
      <c r="L110" s="1073"/>
      <c r="M110" s="1073"/>
      <c r="N110" s="1074"/>
    </row>
    <row r="111" spans="2:14" s="373" customFormat="1" ht="25" customHeight="1">
      <c r="B111" s="646"/>
      <c r="C111" s="381"/>
      <c r="D111" s="381"/>
      <c r="E111" s="381"/>
      <c r="F111" s="381"/>
      <c r="G111" s="381"/>
      <c r="H111" s="381"/>
      <c r="I111" s="381"/>
      <c r="J111" s="381"/>
      <c r="K111" s="381"/>
      <c r="L111" s="381"/>
      <c r="M111" s="381"/>
      <c r="N111" s="639"/>
    </row>
    <row r="112" spans="2:14" s="373" customFormat="1" ht="25" customHeight="1">
      <c r="B112" s="647" t="s">
        <v>829</v>
      </c>
      <c r="C112" s="1071" t="str">
        <f>IF('Facility Level Impact'!J14="No","No Impact to Product Quality","")</f>
        <v/>
      </c>
      <c r="D112" s="1071"/>
      <c r="E112" s="381"/>
      <c r="F112" s="381"/>
      <c r="G112" s="381"/>
      <c r="H112" s="381"/>
      <c r="I112" s="381"/>
      <c r="J112" s="381"/>
      <c r="K112" s="381"/>
      <c r="L112" s="381"/>
      <c r="M112" s="381"/>
      <c r="N112" s="639"/>
    </row>
    <row r="113" spans="2:14" s="373" customFormat="1" ht="25" customHeight="1">
      <c r="B113" s="1072" t="str">
        <f>IFERROR('Facility Level Impact'!C15,"")</f>
        <v/>
      </c>
      <c r="C113" s="1073"/>
      <c r="D113" s="1073"/>
      <c r="E113" s="1073"/>
      <c r="F113" s="1073"/>
      <c r="G113" s="1073"/>
      <c r="H113" s="1073"/>
      <c r="I113" s="1073"/>
      <c r="J113" s="1073"/>
      <c r="K113" s="1073"/>
      <c r="L113" s="1073"/>
      <c r="M113" s="1073"/>
      <c r="N113" s="1074"/>
    </row>
    <row r="114" spans="2:14" s="373" customFormat="1" ht="33.75" customHeight="1">
      <c r="B114" s="1072"/>
      <c r="C114" s="1073"/>
      <c r="D114" s="1073"/>
      <c r="E114" s="1073"/>
      <c r="F114" s="1073"/>
      <c r="G114" s="1073"/>
      <c r="H114" s="1073"/>
      <c r="I114" s="1073"/>
      <c r="J114" s="1073"/>
      <c r="K114" s="1073"/>
      <c r="L114" s="1073"/>
      <c r="M114" s="1073"/>
      <c r="N114" s="1074"/>
    </row>
    <row r="115" spans="2:14" s="373" customFormat="1" ht="25" customHeight="1">
      <c r="B115" s="646"/>
      <c r="C115" s="381"/>
      <c r="D115" s="381"/>
      <c r="E115" s="381"/>
      <c r="F115" s="381"/>
      <c r="G115" s="381"/>
      <c r="H115" s="381"/>
      <c r="I115" s="381"/>
      <c r="J115" s="381"/>
      <c r="K115" s="381"/>
      <c r="L115" s="381"/>
      <c r="M115" s="381"/>
      <c r="N115" s="639"/>
    </row>
    <row r="116" spans="2:14" s="373" customFormat="1" ht="25" customHeight="1">
      <c r="B116" s="647" t="s">
        <v>830</v>
      </c>
      <c r="C116" s="1071" t="str">
        <f>IF('Facility Level Impact'!J16="No","No Impact to Raw Materials","")</f>
        <v/>
      </c>
      <c r="D116" s="1071"/>
      <c r="E116" s="381"/>
      <c r="F116" s="381"/>
      <c r="G116" s="381"/>
      <c r="H116" s="381"/>
      <c r="I116" s="381"/>
      <c r="J116" s="381"/>
      <c r="K116" s="381"/>
      <c r="L116" s="381"/>
      <c r="M116" s="381"/>
      <c r="N116" s="639"/>
    </row>
    <row r="117" spans="2:14" s="373" customFormat="1" ht="25" customHeight="1">
      <c r="B117" s="1072" t="str">
        <f>IFERROR('Facility Level Impact'!C17,"")</f>
        <v/>
      </c>
      <c r="C117" s="1073"/>
      <c r="D117" s="1073"/>
      <c r="E117" s="1073"/>
      <c r="F117" s="1073"/>
      <c r="G117" s="1073"/>
      <c r="H117" s="1073"/>
      <c r="I117" s="1073"/>
      <c r="J117" s="1073"/>
      <c r="K117" s="1073"/>
      <c r="L117" s="1073"/>
      <c r="M117" s="1073"/>
      <c r="N117" s="1074"/>
    </row>
    <row r="118" spans="2:14" s="373" customFormat="1" ht="33" customHeight="1">
      <c r="B118" s="1072"/>
      <c r="C118" s="1073"/>
      <c r="D118" s="1073"/>
      <c r="E118" s="1073"/>
      <c r="F118" s="1073"/>
      <c r="G118" s="1073"/>
      <c r="H118" s="1073"/>
      <c r="I118" s="1073"/>
      <c r="J118" s="1073"/>
      <c r="K118" s="1073"/>
      <c r="L118" s="1073"/>
      <c r="M118" s="1073"/>
      <c r="N118" s="1074"/>
    </row>
    <row r="119" spans="2:14" s="373" customFormat="1" ht="25" customHeight="1">
      <c r="B119" s="646"/>
      <c r="C119" s="381"/>
      <c r="D119" s="381"/>
      <c r="E119" s="381"/>
      <c r="F119" s="381"/>
      <c r="G119" s="381"/>
      <c r="H119" s="381"/>
      <c r="I119" s="381"/>
      <c r="J119" s="381"/>
      <c r="K119" s="381"/>
      <c r="L119" s="381"/>
      <c r="M119" s="381"/>
      <c r="N119" s="639"/>
    </row>
    <row r="120" spans="2:14" s="373" customFormat="1" ht="25" customHeight="1">
      <c r="B120" s="647" t="s">
        <v>831</v>
      </c>
      <c r="C120" s="1071" t="str">
        <f>IF('Facility Level Impact'!J20="No","No Impact to Product's Life","")</f>
        <v/>
      </c>
      <c r="D120" s="1071"/>
      <c r="E120" s="381"/>
      <c r="F120" s="381"/>
      <c r="G120" s="381"/>
      <c r="H120" s="381"/>
      <c r="I120" s="381"/>
      <c r="J120" s="381"/>
      <c r="K120" s="381"/>
      <c r="L120" s="381"/>
      <c r="M120" s="381"/>
      <c r="N120" s="639"/>
    </row>
    <row r="121" spans="2:14" s="373" customFormat="1" ht="25" customHeight="1">
      <c r="B121" s="1072" t="str">
        <f>IFERROR('Facility Level Impact'!C21,"")</f>
        <v/>
      </c>
      <c r="C121" s="1073"/>
      <c r="D121" s="1073"/>
      <c r="E121" s="1073"/>
      <c r="F121" s="1073"/>
      <c r="G121" s="1073"/>
      <c r="H121" s="1073"/>
      <c r="I121" s="1073"/>
      <c r="J121" s="1073"/>
      <c r="K121" s="1073"/>
      <c r="L121" s="1073"/>
      <c r="M121" s="1073"/>
      <c r="N121" s="1074"/>
    </row>
    <row r="122" spans="2:14" s="373" customFormat="1" ht="30.75" customHeight="1">
      <c r="B122" s="1072"/>
      <c r="C122" s="1073"/>
      <c r="D122" s="1073"/>
      <c r="E122" s="1073"/>
      <c r="F122" s="1073"/>
      <c r="G122" s="1073"/>
      <c r="H122" s="1073"/>
      <c r="I122" s="1073"/>
      <c r="J122" s="1073"/>
      <c r="K122" s="1073"/>
      <c r="L122" s="1073"/>
      <c r="M122" s="1073"/>
      <c r="N122" s="1074"/>
    </row>
    <row r="123" spans="2:14" s="373" customFormat="1" ht="25" customHeight="1">
      <c r="B123" s="646"/>
      <c r="C123" s="381"/>
      <c r="D123" s="381"/>
      <c r="E123" s="381"/>
      <c r="F123" s="381"/>
      <c r="G123" s="381"/>
      <c r="H123" s="381"/>
      <c r="I123" s="381"/>
      <c r="J123" s="381"/>
      <c r="K123" s="381"/>
      <c r="L123" s="381"/>
      <c r="M123" s="381"/>
      <c r="N123" s="639"/>
    </row>
    <row r="124" spans="2:14" s="373" customFormat="1" ht="25" customHeight="1">
      <c r="B124" s="647" t="s">
        <v>833</v>
      </c>
      <c r="C124" s="1071" t="str">
        <f>IF('Facility Level Impact'!J22="No","No Impact to Product Logistics","")</f>
        <v/>
      </c>
      <c r="D124" s="1071"/>
      <c r="E124" s="381"/>
      <c r="F124" s="381"/>
      <c r="G124" s="381"/>
      <c r="H124" s="381"/>
      <c r="I124" s="381"/>
      <c r="J124" s="381"/>
      <c r="K124" s="381"/>
      <c r="L124" s="381"/>
      <c r="M124" s="381"/>
      <c r="N124" s="639"/>
    </row>
    <row r="125" spans="2:14" s="373" customFormat="1" ht="25" customHeight="1">
      <c r="B125" s="1072" t="str">
        <f>IFERROR('Facility Level Impact'!C23,"")</f>
        <v/>
      </c>
      <c r="C125" s="1073"/>
      <c r="D125" s="1073"/>
      <c r="E125" s="1073"/>
      <c r="F125" s="1073"/>
      <c r="G125" s="1073"/>
      <c r="H125" s="1073"/>
      <c r="I125" s="1073"/>
      <c r="J125" s="1073"/>
      <c r="K125" s="1073"/>
      <c r="L125" s="1073"/>
      <c r="M125" s="1073"/>
      <c r="N125" s="1074"/>
    </row>
    <row r="126" spans="2:14" s="373" customFormat="1" ht="34.5" customHeight="1">
      <c r="B126" s="1072"/>
      <c r="C126" s="1073"/>
      <c r="D126" s="1073"/>
      <c r="E126" s="1073"/>
      <c r="F126" s="1073"/>
      <c r="G126" s="1073"/>
      <c r="H126" s="1073"/>
      <c r="I126" s="1073"/>
      <c r="J126" s="1073"/>
      <c r="K126" s="1073"/>
      <c r="L126" s="1073"/>
      <c r="M126" s="1073"/>
      <c r="N126" s="1074"/>
    </row>
    <row r="127" spans="2:14" s="373" customFormat="1" ht="25" customHeight="1">
      <c r="B127" s="647"/>
      <c r="C127" s="381"/>
      <c r="D127" s="381"/>
      <c r="E127" s="381"/>
      <c r="F127" s="381"/>
      <c r="G127" s="381"/>
      <c r="H127" s="381"/>
      <c r="I127" s="381"/>
      <c r="J127" s="381"/>
      <c r="K127" s="381"/>
      <c r="L127" s="381"/>
      <c r="M127" s="381"/>
      <c r="N127" s="639"/>
    </row>
    <row r="128" spans="2:14" s="373" customFormat="1" ht="25" customHeight="1">
      <c r="B128" s="647" t="s">
        <v>825</v>
      </c>
      <c r="C128" s="1071" t="str">
        <f>IF('Facility Level Impact'!J24="No","No Other Impacts","")</f>
        <v/>
      </c>
      <c r="D128" s="1071"/>
      <c r="E128" s="381"/>
      <c r="F128" s="381"/>
      <c r="G128" s="381"/>
      <c r="H128" s="381"/>
      <c r="I128" s="381"/>
      <c r="J128" s="381"/>
      <c r="K128" s="381"/>
      <c r="L128" s="381"/>
      <c r="M128" s="381"/>
      <c r="N128" s="639"/>
    </row>
    <row r="129" spans="2:14" s="373" customFormat="1" ht="25" customHeight="1">
      <c r="B129" s="1078" t="str">
        <f>IFERROR('Facility Level Impact'!C25,"")</f>
        <v/>
      </c>
      <c r="C129" s="1079"/>
      <c r="D129" s="1079"/>
      <c r="E129" s="1079"/>
      <c r="F129" s="1079"/>
      <c r="G129" s="1079"/>
      <c r="H129" s="1079"/>
      <c r="I129" s="1079"/>
      <c r="J129" s="1079"/>
      <c r="K129" s="1079"/>
      <c r="L129" s="1079"/>
      <c r="M129" s="1079"/>
      <c r="N129" s="1080"/>
    </row>
    <row r="130" spans="2:14" s="373" customFormat="1" ht="33" customHeight="1" thickBot="1">
      <c r="B130" s="1081"/>
      <c r="C130" s="1082"/>
      <c r="D130" s="1082"/>
      <c r="E130" s="1082"/>
      <c r="F130" s="1082"/>
      <c r="G130" s="1082"/>
      <c r="H130" s="1082"/>
      <c r="I130" s="1082"/>
      <c r="J130" s="1082"/>
      <c r="K130" s="1082"/>
      <c r="L130" s="1082"/>
      <c r="M130" s="1082"/>
      <c r="N130" s="1083"/>
    </row>
    <row r="131" spans="2:14" s="373" customFormat="1"/>
  </sheetData>
  <mergeCells count="62">
    <mergeCell ref="V17:Y17"/>
    <mergeCell ref="V12:Y12"/>
    <mergeCell ref="V13:Y13"/>
    <mergeCell ref="V14:Y14"/>
    <mergeCell ref="V15:Y15"/>
    <mergeCell ref="V16:Y16"/>
    <mergeCell ref="V7:Y7"/>
    <mergeCell ref="V8:Y8"/>
    <mergeCell ref="V9:Y9"/>
    <mergeCell ref="V10:Y10"/>
    <mergeCell ref="V11:Y11"/>
    <mergeCell ref="F15:I15"/>
    <mergeCell ref="B6:I8"/>
    <mergeCell ref="F33:I33"/>
    <mergeCell ref="F18:I18"/>
    <mergeCell ref="F20:I20"/>
    <mergeCell ref="F26:I26"/>
    <mergeCell ref="F27:I27"/>
    <mergeCell ref="F28:I28"/>
    <mergeCell ref="F29:I29"/>
    <mergeCell ref="F30:I30"/>
    <mergeCell ref="F31:I31"/>
    <mergeCell ref="F32:I32"/>
    <mergeCell ref="E22:I22"/>
    <mergeCell ref="B25:I25"/>
    <mergeCell ref="D12:E12"/>
    <mergeCell ref="F12:I12"/>
    <mergeCell ref="D13:E13"/>
    <mergeCell ref="F13:I13"/>
    <mergeCell ref="D14:E14"/>
    <mergeCell ref="F14:I14"/>
    <mergeCell ref="B3:I3"/>
    <mergeCell ref="B4:I4"/>
    <mergeCell ref="F10:I10"/>
    <mergeCell ref="D11:E11"/>
    <mergeCell ref="F11:I11"/>
    <mergeCell ref="B129:N130"/>
    <mergeCell ref="B125:N126"/>
    <mergeCell ref="B121:N122"/>
    <mergeCell ref="B117:N118"/>
    <mergeCell ref="F16:I16"/>
    <mergeCell ref="B40:I40"/>
    <mergeCell ref="F34:I34"/>
    <mergeCell ref="F35:I35"/>
    <mergeCell ref="F36:I36"/>
    <mergeCell ref="F37:I37"/>
    <mergeCell ref="B38:C38"/>
    <mergeCell ref="D38:E38"/>
    <mergeCell ref="F38:I38"/>
    <mergeCell ref="B39:I39"/>
    <mergeCell ref="B113:N114"/>
    <mergeCell ref="B109:N110"/>
    <mergeCell ref="C100:D100"/>
    <mergeCell ref="C104:D104"/>
    <mergeCell ref="C108:D108"/>
    <mergeCell ref="C128:D128"/>
    <mergeCell ref="C124:D124"/>
    <mergeCell ref="C120:D120"/>
    <mergeCell ref="C116:D116"/>
    <mergeCell ref="C112:D112"/>
    <mergeCell ref="B105:N106"/>
    <mergeCell ref="B101:N102"/>
  </mergeCells>
  <dataValidations count="2">
    <dataValidation type="list" allowBlank="1" showInputMessage="1" showErrorMessage="1" sqref="D23:E24" xr:uid="{00000000-0002-0000-0400-000000000000}">
      <formula1>"Solid,Liquid,Gas/Vapor"</formula1>
    </dataValidation>
    <dataValidation type="list" allowBlank="1" showInputMessage="1" showErrorMessage="1" sqref="E21" xr:uid="{00000000-0002-0000-0400-000001000000}">
      <formula1>$B$44:$B$48</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Control Page</vt:lpstr>
      <vt:lpstr>Guide-Instructions</vt:lpstr>
      <vt:lpstr>Systems</vt:lpstr>
      <vt:lpstr>Calculator </vt:lpstr>
      <vt:lpstr>Facility Level Impact</vt:lpstr>
      <vt:lpstr>NAICS</vt:lpstr>
      <vt:lpstr>Cost summary</vt:lpstr>
      <vt:lpstr>Cost report selection</vt:lpstr>
      <vt:lpstr>Cost Report</vt:lpstr>
      <vt:lpstr>Energy use</vt:lpstr>
      <vt:lpstr>Maintenance cost</vt:lpstr>
      <vt:lpstr>Combined sheets</vt:lpstr>
      <vt:lpstr>Load Charge Gas-1</vt:lpstr>
      <vt:lpstr>Solid</vt:lpstr>
      <vt:lpstr>liquid</vt:lpstr>
      <vt:lpstr>gas</vt:lpstr>
      <vt:lpstr>Aux equipment</vt:lpstr>
      <vt:lpstr>Other utilities </vt:lpstr>
      <vt:lpstr>Other material cost</vt:lpstr>
      <vt:lpstr>Labor cost </vt:lpstr>
      <vt:lpstr>Water use module</vt:lpstr>
      <vt:lpstr>Solids Properties </vt:lpstr>
      <vt:lpstr>Liquid Properties</vt:lpstr>
      <vt:lpstr>Gas Properties </vt:lpstr>
      <vt:lpstr>FoodManufacturing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Arvind Thekdi</dc:creator>
  <cp:keywords/>
  <dc:description/>
  <cp:lastModifiedBy>Kiran Thirumaran</cp:lastModifiedBy>
  <dcterms:created xsi:type="dcterms:W3CDTF">2016-03-31T16:50:35Z</dcterms:created>
  <dcterms:modified xsi:type="dcterms:W3CDTF">2021-10-26T17:10:05Z</dcterms:modified>
  <cp:category/>
</cp:coreProperties>
</file>